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shortcut-targets-by-id\1IrBZKS_xtnd0FCI-6M3pM48JI0mhO0WP\Decarbonization in Action Project Management\GTHA 2025-2026\Partner Deliverables\Public Versions\"/>
    </mc:Choice>
  </mc:AlternateContent>
  <xr:revisionPtr revIDLastSave="0" documentId="13_ncr:1_{C9CE3581-A325-41D6-BB87-204653E581D4}" xr6:coauthVersionLast="47" xr6:coauthVersionMax="47" xr10:uidLastSave="{00000000-0000-0000-0000-000000000000}"/>
  <bookViews>
    <workbookView xWindow="-120" yWindow="-120" windowWidth="29040" windowHeight="15720" xr2:uid="{00000000-000D-0000-FFFF-FFFF00000000}"/>
  </bookViews>
  <sheets>
    <sheet name="Introduction" sheetId="4" r:id="rId1"/>
    <sheet name="Calculations Low Dialysate Flow" sheetId="1" r:id="rId2"/>
    <sheet name="Calculations Online Priming"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QJ5NyQOi+QboGyiEQDlFIcUui1+AGAIw4+aQEE5/6+A="/>
    </ext>
  </extLst>
</workbook>
</file>

<file path=xl/calcChain.xml><?xml version="1.0" encoding="utf-8"?>
<calcChain xmlns="http://schemas.openxmlformats.org/spreadsheetml/2006/main">
  <c r="C82" i="3" l="1"/>
  <c r="D17" i="1"/>
  <c r="C17" i="1"/>
  <c r="D35" i="1"/>
  <c r="C35" i="1"/>
  <c r="D38" i="1"/>
  <c r="C11" i="3"/>
  <c r="D20" i="1" l="1"/>
  <c r="D47" i="1"/>
  <c r="C47" i="1"/>
  <c r="C67" i="3" l="1"/>
  <c r="G76" i="3" s="1"/>
  <c r="C66" i="3"/>
  <c r="G75" i="3" s="1"/>
  <c r="C65" i="3"/>
  <c r="E74" i="3" s="1"/>
  <c r="C64" i="3"/>
  <c r="G73" i="3" s="1"/>
  <c r="C63" i="3"/>
  <c r="G72" i="3" s="1"/>
  <c r="F74" i="3" l="1"/>
  <c r="G74" i="3"/>
  <c r="E75" i="3"/>
  <c r="F75" i="3"/>
  <c r="C76" i="3"/>
  <c r="E76" i="3"/>
  <c r="F76" i="3"/>
  <c r="E72" i="3"/>
  <c r="C73" i="3"/>
  <c r="F73" i="3"/>
  <c r="E73" i="3"/>
  <c r="F72" i="3"/>
  <c r="C108" i="3"/>
  <c r="C107" i="3"/>
  <c r="C106" i="3"/>
  <c r="C105" i="3"/>
  <c r="C104" i="3"/>
  <c r="C103" i="3"/>
  <c r="C74" i="3" l="1"/>
  <c r="C75" i="3"/>
  <c r="D13" i="1"/>
  <c r="D85" i="1" s="1"/>
  <c r="C113" i="1"/>
  <c r="C13" i="1" l="1"/>
  <c r="C98" i="3"/>
  <c r="C100" i="3" s="1"/>
  <c r="C72" i="3" s="1"/>
  <c r="C79" i="3" s="1"/>
  <c r="C95" i="3"/>
  <c r="C85" i="1" l="1"/>
  <c r="E85" i="1" s="1"/>
  <c r="C44" i="1"/>
  <c r="C87" i="3"/>
  <c r="C86" i="3"/>
  <c r="C89" i="3"/>
  <c r="C45" i="3"/>
  <c r="C44" i="3"/>
  <c r="C33" i="3"/>
  <c r="G79" i="3"/>
  <c r="F79" i="3"/>
  <c r="E79" i="3"/>
  <c r="C38" i="1"/>
  <c r="C20" i="1"/>
  <c r="D37" i="1"/>
  <c r="C37" i="1"/>
  <c r="D18" i="1"/>
  <c r="C18" i="1"/>
  <c r="C88" i="3" l="1"/>
  <c r="C34" i="3"/>
  <c r="D79" i="3" s="1"/>
  <c r="C83" i="3" s="1"/>
  <c r="C69" i="3"/>
  <c r="D39" i="1"/>
  <c r="C39" i="1"/>
  <c r="D21" i="1"/>
  <c r="D83" i="1" s="1"/>
  <c r="C21" i="1"/>
  <c r="C83" i="1" s="1"/>
  <c r="D104" i="1"/>
  <c r="C104" i="1"/>
  <c r="D101" i="1"/>
  <c r="D102" i="1" s="1"/>
  <c r="C101" i="1"/>
  <c r="C102" i="1" s="1"/>
  <c r="E83" i="1" l="1"/>
  <c r="C64" i="1"/>
  <c r="C74" i="1" s="1"/>
  <c r="C84" i="1"/>
  <c r="D64" i="1"/>
  <c r="D74" i="1" s="1"/>
  <c r="D84" i="1"/>
  <c r="D82" i="1" s="1"/>
  <c r="D63" i="1"/>
  <c r="C63" i="1"/>
  <c r="C28" i="1"/>
  <c r="C29" i="1" s="1"/>
  <c r="D28" i="1"/>
  <c r="D29" i="1" s="1"/>
  <c r="D65" i="1" s="1"/>
  <c r="D75" i="1" s="1"/>
  <c r="D66" i="1"/>
  <c r="D76" i="1" s="1"/>
  <c r="D73" i="1"/>
  <c r="C23" i="1"/>
  <c r="C24" i="1" s="1"/>
  <c r="C43" i="1"/>
  <c r="E84" i="1" l="1"/>
  <c r="C82" i="1"/>
  <c r="E82" i="1" s="1"/>
  <c r="C66" i="1"/>
  <c r="C76" i="1" s="1"/>
  <c r="C51" i="1"/>
  <c r="C52" i="1" s="1"/>
  <c r="C65" i="1"/>
  <c r="D62" i="1"/>
  <c r="D72" i="1"/>
  <c r="C73" i="1"/>
  <c r="C62" i="1" l="1"/>
  <c r="C68" i="1" s="1"/>
  <c r="C69" i="1" s="1"/>
  <c r="C75" i="1"/>
  <c r="C72" i="1" s="1"/>
  <c r="C78" i="1" s="1"/>
  <c r="C79" i="1" s="1"/>
</calcChain>
</file>

<file path=xl/sharedStrings.xml><?xml version="1.0" encoding="utf-8"?>
<sst xmlns="http://schemas.openxmlformats.org/spreadsheetml/2006/main" count="517" uniqueCount="313">
  <si>
    <t>Grid Electricity GHG Intensity</t>
  </si>
  <si>
    <t>Ontario average electricity GHG intensity (gCO2e/kWh)</t>
  </si>
  <si>
    <t>References</t>
  </si>
  <si>
    <t>Link</t>
  </si>
  <si>
    <t>Ontario electricity GHG intensity, 2024 value</t>
  </si>
  <si>
    <t>Municipal Water Supply &amp; Waste Water Treatment: Energy &amp; GHG Intensity</t>
  </si>
  <si>
    <t>Water Source</t>
  </si>
  <si>
    <t>Mean Energy Intensity by Water Source (kWh/m3)</t>
  </si>
  <si>
    <t>Percentage of Water Supply in Hamilton (%)</t>
  </si>
  <si>
    <t>Percentage of Water Supply in Toronto (%)</t>
  </si>
  <si>
    <t>Surface water - large capacity</t>
  </si>
  <si>
    <t>Groundwater - small capacity</t>
  </si>
  <si>
    <t>Private systems (wells and cisterns)</t>
  </si>
  <si>
    <t>Groundwater - large capacity</t>
  </si>
  <si>
    <t>Hamilton</t>
  </si>
  <si>
    <t>Toronto</t>
  </si>
  <si>
    <t>Weighted Energy Intensity (kWh/m3)</t>
  </si>
  <si>
    <t>Average carbon footprint of municipal water supply (gCO2e/m3)</t>
  </si>
  <si>
    <t>Mean Energy Intensity of Wastewater Treatment (kWh/m3)</t>
  </si>
  <si>
    <t>Average carbon footprint of wastewater treatment (gCO2e/m3)</t>
  </si>
  <si>
    <t>Percentage of water intake in Hamilton</t>
  </si>
  <si>
    <t>Source of water intake in City of Toronto (Lake Ontario)</t>
  </si>
  <si>
    <t>Assumptions</t>
  </si>
  <si>
    <t>Operational Parameters</t>
  </si>
  <si>
    <t>Source/Comments</t>
  </si>
  <si>
    <t>Average number of treatments per year</t>
  </si>
  <si>
    <t>Nephrologists inputs</t>
  </si>
  <si>
    <t>Average estimate</t>
  </si>
  <si>
    <t>Water cost ($/L)</t>
  </si>
  <si>
    <t>Energy cost ($/kWh)</t>
  </si>
  <si>
    <t>Procurement</t>
  </si>
  <si>
    <t>Dialysate flow rate (mL/min)</t>
  </si>
  <si>
    <t>User update</t>
  </si>
  <si>
    <t>Treatment Session Length (hours/session)</t>
  </si>
  <si>
    <t>Default value is 4 hours based on expert input</t>
  </si>
  <si>
    <t>Dialysis machine energy consumption per treatment (kWh)</t>
  </si>
  <si>
    <t>Energy Consumption</t>
  </si>
  <si>
    <t>Water Consumption</t>
  </si>
  <si>
    <t>Heat disinfection duration (hours)</t>
  </si>
  <si>
    <t>Water supply rate during heat disinfection (L/hour)</t>
  </si>
  <si>
    <t>Power draw for heat disinfection (kW)</t>
  </si>
  <si>
    <t>Energy consumption for heat disinfection (kWh)</t>
  </si>
  <si>
    <t>Manual states that the dialysis machine uses 14L/hour during heat disinfection.</t>
  </si>
  <si>
    <t>Value</t>
  </si>
  <si>
    <t>Notes/Assumptions</t>
  </si>
  <si>
    <t>Water use per heat disinfection (L)</t>
  </si>
  <si>
    <t>Total water consumption per treatment (L)</t>
  </si>
  <si>
    <t>Water removed from the patient (L/session)</t>
  </si>
  <si>
    <t>Waste water generated per session (L/session)</t>
  </si>
  <si>
    <t>Wastewater Generation</t>
  </si>
  <si>
    <t>Total energy consumption per treatment (kWh)</t>
  </si>
  <si>
    <t>Total water saving per treatment (L/session)</t>
  </si>
  <si>
    <t>Total energy saving per treatment (kWh/session)</t>
  </si>
  <si>
    <t>User Inputs</t>
  </si>
  <si>
    <t>Inputs &amp; Parameters</t>
  </si>
  <si>
    <t>Emission Factors</t>
  </si>
  <si>
    <t xml:space="preserve">Methodology from Maas, 2009 </t>
  </si>
  <si>
    <t>Equivalent km driven in a passenger vehicle</t>
  </si>
  <si>
    <t>Consumables</t>
  </si>
  <si>
    <t>Saline bag</t>
  </si>
  <si>
    <t>Material</t>
  </si>
  <si>
    <t>Drain bag</t>
  </si>
  <si>
    <t>Upstream manufacturing</t>
  </si>
  <si>
    <t>Transport of finished products</t>
  </si>
  <si>
    <t>Emission factors</t>
  </si>
  <si>
    <t>Boundary</t>
  </si>
  <si>
    <t>Exclusions</t>
  </si>
  <si>
    <t>Logistics packaging (e.g. pallets, cardboard boxes)</t>
  </si>
  <si>
    <t>Cradle to grave</t>
  </si>
  <si>
    <t>Saline bag volume</t>
  </si>
  <si>
    <t>Unit</t>
  </si>
  <si>
    <t>L</t>
  </si>
  <si>
    <t>Operational factors</t>
  </si>
  <si>
    <t>Number of saline bags per treatment</t>
  </si>
  <si>
    <t>Expert input</t>
  </si>
  <si>
    <t>Expert input; a few patients need 3x 1L bags</t>
  </si>
  <si>
    <t>Financial Parameters (Dialysate Flow)</t>
  </si>
  <si>
    <t>Results</t>
  </si>
  <si>
    <t>Annual financial savings</t>
  </si>
  <si>
    <t>Water</t>
  </si>
  <si>
    <t>Energy</t>
  </si>
  <si>
    <t>Dialysate concentrate</t>
  </si>
  <si>
    <t>Average number of treatments per day</t>
  </si>
  <si>
    <t>Days operational per week</t>
  </si>
  <si>
    <t>Weeks operational per year</t>
  </si>
  <si>
    <t>Bag material</t>
  </si>
  <si>
    <t>Bag weight when empty</t>
  </si>
  <si>
    <t>PVC</t>
  </si>
  <si>
    <t>kg</t>
  </si>
  <si>
    <t>Plastic tubing</t>
  </si>
  <si>
    <t>Select from dropdown; default value as PVC based on reference</t>
  </si>
  <si>
    <t>N/A</t>
  </si>
  <si>
    <t>Saline density</t>
  </si>
  <si>
    <t>kg/L</t>
  </si>
  <si>
    <t>Density of normal saline (0.9% w/w NaCl) at room temperature</t>
  </si>
  <si>
    <t>Results (Savings per treatment session)</t>
  </si>
  <si>
    <t>Cost of saline bags</t>
  </si>
  <si>
    <t>Cost of drain bags</t>
  </si>
  <si>
    <t>Financial factors</t>
  </si>
  <si>
    <t>Cost of waste haulage</t>
  </si>
  <si>
    <t>CAD/tonne</t>
  </si>
  <si>
    <t>CAD/bag</t>
  </si>
  <si>
    <t>Employee time</t>
  </si>
  <si>
    <t>Time spent per saline priming</t>
  </si>
  <si>
    <t>minutes</t>
  </si>
  <si>
    <t>Combined time spent on priming by HSAs per year</t>
  </si>
  <si>
    <t>Drain bag packaging</t>
  </si>
  <si>
    <t>Saline bags</t>
  </si>
  <si>
    <t>Drain bags</t>
  </si>
  <si>
    <t>Landfill</t>
  </si>
  <si>
    <t>Incineration</t>
  </si>
  <si>
    <t>Supplier information</t>
  </si>
  <si>
    <t>Storage of saline solution on-site (assume that removing the saline bags would net materially affect the operation of the temperature-controlled storage systems)</t>
  </si>
  <si>
    <t>GTHA grid emission intensity</t>
  </si>
  <si>
    <t>kgCO2e/kWh</t>
  </si>
  <si>
    <t>2024 value for grid emission factor</t>
  </si>
  <si>
    <t>Sodium Chloride 0.9% for irrigation (1L bag)</t>
  </si>
  <si>
    <t xml:space="preserve">Using a UK publication of GHG factors for common surgical supplies. Upstream manufacturing emissions assumptions may vary from actual supplier set-up. </t>
  </si>
  <si>
    <t>Electricity</t>
  </si>
  <si>
    <t>Saline bag emission factor after adjustment</t>
  </si>
  <si>
    <t>Adjustment factor</t>
  </si>
  <si>
    <t>Derived value</t>
  </si>
  <si>
    <t>Upstream transport related emissions cannot be disaggregated from the above reference. An adjustment factor is incorporated to account for the over-estimation and avoid double-counting (since supplier transport is calculated separately in this methodology). The default adjustment factor is 14%, which is the average contribution from transport to life cycle GHG in the Chemicals industry, according to the referenced publication.</t>
  </si>
  <si>
    <t>Waste management scenario</t>
  </si>
  <si>
    <t>Emissions associated with individual bag packaging and plastic tubing, assuming that it accounts for less than 10% (by weight) of the total materials used for saline priming</t>
  </si>
  <si>
    <t xml:space="preserve">Saline bag packaging </t>
  </si>
  <si>
    <t>Recycling</t>
  </si>
  <si>
    <t>End-of-life waste management (kgCO2e/kg)</t>
  </si>
  <si>
    <t>PP</t>
  </si>
  <si>
    <t>Treatment waste water (L/session)</t>
  </si>
  <si>
    <t>Waste water from dialysis machine  = total water consumption by the machine</t>
  </si>
  <si>
    <t>Dialysis machine discharge +  water removed from patients</t>
  </si>
  <si>
    <t>Dialysate acid concentrate consumption (L/session)</t>
  </si>
  <si>
    <t>Carbon Emission Factors of Manufacturing Inputs (gCO2e per unit)</t>
  </si>
  <si>
    <t>Average Emission Factor for Calculation</t>
  </si>
  <si>
    <t>Low Estimate</t>
  </si>
  <si>
    <t>Source</t>
  </si>
  <si>
    <t>High Estimate</t>
  </si>
  <si>
    <t>Note</t>
  </si>
  <si>
    <t>Sodium Chloride</t>
  </si>
  <si>
    <t>grams</t>
  </si>
  <si>
    <t>Carbon Cloud</t>
  </si>
  <si>
    <t>City of Winnipeg Wastewater Treatment Program Selection Report Appendix (2012)</t>
  </si>
  <si>
    <t>Potassium Chloride</t>
  </si>
  <si>
    <t>UK Case Study Publication</t>
  </si>
  <si>
    <t>Calcium Chloride Dihydrate</t>
  </si>
  <si>
    <t>Emission factor for CaCl2, not dihydrate form</t>
  </si>
  <si>
    <t>Magnesium Chloride Hexahydrate</t>
  </si>
  <si>
    <t>Acetic Acid</t>
  </si>
  <si>
    <t>Glucose Monohydrate</t>
  </si>
  <si>
    <t>Energy and greenhouse gas assessment of European glucose production from corn</t>
  </si>
  <si>
    <t>Emission factor for dextrose (glucose) powder</t>
  </si>
  <si>
    <t>Water Supply (Potable)</t>
  </si>
  <si>
    <t>cubic metre</t>
  </si>
  <si>
    <t>City of Winnipeg Wastewater Treatment Program Selection Report Appendix (2012) Tap Water</t>
  </si>
  <si>
    <t>Emission of water supply in the Region of Waterloo (2013)</t>
  </si>
  <si>
    <t>Lack Alberta-specific data. Average value is at a similar scale of UK official carbon factors for water supply; will use UK official source for wastewater treatment emissions</t>
  </si>
  <si>
    <t>Wastewater Treatment</t>
  </si>
  <si>
    <t>UK Defra Greenhouse gas reporting: conversion factors 2025</t>
  </si>
  <si>
    <t>Energy (Alberta)</t>
  </si>
  <si>
    <t>kWh</t>
  </si>
  <si>
    <t>Canada GHG Reference Value (2024)</t>
  </si>
  <si>
    <t>Percentage Utilized in SMH HD Units
(Expert Gathered Data)</t>
  </si>
  <si>
    <t>CDS A1266 - K (3.0 mmol/L) Ca (1.25 mmol/L) Mg (0.5 mmol/L)</t>
  </si>
  <si>
    <t>CDS A1267 - K (2.0 mmol/L) Ca (1.25 mmol/L) Mg (0.5 mmol/L)</t>
  </si>
  <si>
    <t>CDS A1279 - K (2.0 mmol/L) Ca (1.5 mmol/L) Mg (0.5 mmol/L)</t>
  </si>
  <si>
    <t>CDS A1298 - K (3.0 mmol/L) Ca (1.5 mmol/L) Mg (0.5 mmol/L)</t>
  </si>
  <si>
    <t>Based on acid concentrate ingredients (see below)</t>
  </si>
  <si>
    <t>Weighted Average Emission Factor per Container (excluding packaging)</t>
  </si>
  <si>
    <t>Carbon Emission (kgCO2e per L of acid concentrate)</t>
  </si>
  <si>
    <t>Dialysate concentrate GHG intensity</t>
  </si>
  <si>
    <t>kgCO2e per L of acid concentrate</t>
  </si>
  <si>
    <t>Manufacturing Inputs (Ingredients + Utilities)</t>
  </si>
  <si>
    <t>Source/ Note</t>
  </si>
  <si>
    <t>Ingredients &amp; Concentration Before Dilution
(As per product label)</t>
  </si>
  <si>
    <t>inputs per L</t>
  </si>
  <si>
    <t>inputs per 4.5L jug</t>
  </si>
  <si>
    <t>inputs per 200L barrel</t>
  </si>
  <si>
    <t>Sodium Chloride (g/L)</t>
  </si>
  <si>
    <t>Photo of product labels</t>
  </si>
  <si>
    <t>Calcium Chloride Dihydrate (g/L)</t>
  </si>
  <si>
    <t>Magnesium Chloride Hexahydrate (g/L)</t>
  </si>
  <si>
    <t>Acetic Acid (g/L)</t>
  </si>
  <si>
    <t>Glucose Monohydrate (g/L)</t>
  </si>
  <si>
    <t>A UK case study of central dialysis acid system assumed 50% water loss at manufacturing stage of acid concentrate: 30-35% loss from reverse osmosis + 15-20% usage by water softeners and carbon filters)</t>
  </si>
  <si>
    <t>Rejected Water for Wastewater Treatment (cubic metre)</t>
  </si>
  <si>
    <t>As above, 50% of total water supply is rejected to wastewater treatment.</t>
  </si>
  <si>
    <t>Energy (Electricity) (kWh/L)</t>
  </si>
  <si>
    <t>Total Potable Water Supply (cubic metre)</t>
  </si>
  <si>
    <t>Upstream transport distance</t>
  </si>
  <si>
    <t>km</t>
  </si>
  <si>
    <t>g</t>
  </si>
  <si>
    <t>Weighed by Unity Health team</t>
  </si>
  <si>
    <t>Number of plastic tubings per treatment</t>
  </si>
  <si>
    <t>pieces</t>
  </si>
  <si>
    <t>Unity Health data from expert input</t>
  </si>
  <si>
    <t>Add average waste per tonne data based on waste management scenario (e.g. split of landfill/recycling/incineration)</t>
  </si>
  <si>
    <t>Drain bags individual packaging</t>
  </si>
  <si>
    <t>Annual total plastic waste reduction</t>
  </si>
  <si>
    <t>Annual total cost savings</t>
  </si>
  <si>
    <t>Procurement of saline bags</t>
  </si>
  <si>
    <t>Procurement of drain bags</t>
  </si>
  <si>
    <t>Employee time savings</t>
  </si>
  <si>
    <t>Waste haulage</t>
  </si>
  <si>
    <t>Per treatment plastic waste reduction breakdown</t>
  </si>
  <si>
    <t>Saline bags manufacturing</t>
  </si>
  <si>
    <t>Drain bags and tubing manufacturing</t>
  </si>
  <si>
    <t>Wastewater volume per treatment is not affected by saline vs online priming</t>
  </si>
  <si>
    <t>Average estimate - Sim/Kevin - Could they reach out to facilities for a rough estimate</t>
  </si>
  <si>
    <t>Total GHG saving per year (tCO2e/year)</t>
  </si>
  <si>
    <t>days/week</t>
  </si>
  <si>
    <t>weeks/year</t>
  </si>
  <si>
    <t>kgCO2e/kg</t>
  </si>
  <si>
    <t>Total acid saving per treatment (L/session)</t>
  </si>
  <si>
    <t>Dialysate concentrate ($/200L barrel)</t>
  </si>
  <si>
    <t>Total Financial saving per year ($/year)</t>
  </si>
  <si>
    <t>Total costs ($/year)</t>
  </si>
  <si>
    <t>kg/year</t>
  </si>
  <si>
    <t>treatments/year</t>
  </si>
  <si>
    <t>Optional; exclude if assumed as not significant (&lt;10% of empty saline bag by weight)</t>
  </si>
  <si>
    <t xml:space="preserve">Optional; time spent per session by Hemodialysis Support Assistants (HSAs) </t>
  </si>
  <si>
    <t>HDPE</t>
  </si>
  <si>
    <t>LDPE/LLDPE</t>
  </si>
  <si>
    <t>PET</t>
  </si>
  <si>
    <t>Total filled saline bag weight per year</t>
  </si>
  <si>
    <t>Number of priming (drain) bags per treatment</t>
  </si>
  <si>
    <t>Total plastic tubings weight per year</t>
  </si>
  <si>
    <r>
      <t xml:space="preserve">Basis of calculation: </t>
    </r>
    <r>
      <rPr>
        <sz val="11"/>
        <color theme="1"/>
        <rFont val="Calibri"/>
        <family val="2"/>
        <scheme val="minor"/>
      </rPr>
      <t>life cycle GHG emissions associated with switching from saline priming to online priming per treatment session</t>
    </r>
  </si>
  <si>
    <t>The bags are discarded without fluid. The priming bag has a 2L capacity, but the fluid is emptied before disposal. Treatment of waste fluid is assumed to be of minimal impact compared to the upstream impact of plastics, and therefore excluded from this calculation.</t>
  </si>
  <si>
    <t>Mixed plastics</t>
  </si>
  <si>
    <t>Incineration (no clinical incineration)</t>
  </si>
  <si>
    <t>Cradle to Gate emission factor (resin production + conversion/forming) based on global plastics value chain and systematic review of plastic LCA studies.</t>
  </si>
  <si>
    <t>Cradle to Gate emission factor (resin production + conversion/forming) based on UK plastics market.</t>
  </si>
  <si>
    <t>Link (all data based on USA waste management emissions, except global average value for mechanical recycling process emissions of PVC and LDPE/LLDPE)</t>
  </si>
  <si>
    <t>Upstream transportation</t>
  </si>
  <si>
    <t>Total empty drain bag &amp; packaging weight per year</t>
  </si>
  <si>
    <t>Total empty saline bag &amp; packaging weight per year</t>
  </si>
  <si>
    <t>Link (supplementary material)</t>
  </si>
  <si>
    <t>Downstream waste management (including collection) - Landfill</t>
  </si>
  <si>
    <t>Downstream waste management (including collection) - Recycling</t>
  </si>
  <si>
    <t>Downstream waste management (including collection) - Incineration</t>
  </si>
  <si>
    <t>Saline bag packaging material</t>
  </si>
  <si>
    <t>Drain bag packaging material</t>
  </si>
  <si>
    <t>Plastic tubing weighed separately from the drain bag by Unity Health team.</t>
  </si>
  <si>
    <t>Assumed to be PVC</t>
  </si>
  <si>
    <t>Plastic tubing material</t>
  </si>
  <si>
    <t>Per treatment GHG reduction breakdown (kgCO2e/treatment)</t>
  </si>
  <si>
    <t>Annual total GHG reduction breakdown (kgCO2e/year)</t>
  </si>
  <si>
    <t>Annual total GHG reduction (tCO2e/year)</t>
  </si>
  <si>
    <t>Equivalent car journeys (km)</t>
  </si>
  <si>
    <t xml:space="preserve">Dilution ratio: 1 part acid + 1.72  part bicarb + 42.28 part RO water = 45 parts per unit of dialysate </t>
  </si>
  <si>
    <t>Total acid savings per year (L/year)</t>
  </si>
  <si>
    <t>*Equivalent to approximately 272 barrels (200L each)</t>
  </si>
  <si>
    <t>$/year</t>
  </si>
  <si>
    <t>minutes saved per treatment</t>
  </si>
  <si>
    <t>hours saved per year</t>
  </si>
  <si>
    <t>Vans - Average (up to 3.5 tonnes)</t>
  </si>
  <si>
    <t>Heavy Goods Vehicle (&gt;3.5 tonnes - 7.5 tonnes)</t>
  </si>
  <si>
    <t>Heavy Goods Vehicle (&gt;7.5 tonnes - 17 tonnes)</t>
  </si>
  <si>
    <t>Heavy Goods Vehicle Refrigerated (&gt;7.5 tonnes - 17 tonnes)</t>
  </si>
  <si>
    <t xml:space="preserve">UK government emission factors based on average UK freighting industry data. Factors are for diesel vehicles. HGV emission factors assume average laden.  </t>
  </si>
  <si>
    <t>Heavy Goods Vehicle Refrigerated (&gt;3.5 tonnes - 7.5 tonnes)</t>
  </si>
  <si>
    <t>Mode of transport</t>
  </si>
  <si>
    <t>Select vehicle type from dropdown options (assume land transport only)</t>
  </si>
  <si>
    <t>kgCO2e/tonne-km</t>
  </si>
  <si>
    <t>Drain bag and tubing</t>
  </si>
  <si>
    <t>Required fields</t>
  </si>
  <si>
    <t>Confirm default values or update with custom data</t>
  </si>
  <si>
    <t>Optional fields</t>
  </si>
  <si>
    <t>Leave blank if not available/applicable</t>
  </si>
  <si>
    <t>*Emissions from the heating and water use from online priming is negligible (&lt;0.5 kgCO2e/treatment)</t>
  </si>
  <si>
    <t>Savings (Reference Case - Low-flow Case)</t>
  </si>
  <si>
    <t>kgCO2e/bag/use</t>
  </si>
  <si>
    <t>use CDS number of treatments for number of treatments per year</t>
  </si>
  <si>
    <t>Saline bags individual packaging</t>
  </si>
  <si>
    <t>Assumed scenario for waste water treatment emission factor: surface supply, large capacity</t>
  </si>
  <si>
    <t>Potassium Chloride (g/L)</t>
  </si>
  <si>
    <t>Electricity intensity was supplied by the manufacturer in the UK Case Study. No Canadian/North American supplier data available at the moment. Assume process intensity is similar.</t>
  </si>
  <si>
    <t>Water use per treatment (L/session)</t>
  </si>
  <si>
    <t>Calculated on an annual basis (Cell D77)</t>
  </si>
  <si>
    <r>
      <t xml:space="preserve">About </t>
    </r>
    <r>
      <rPr>
        <b/>
        <i/>
        <sz val="14"/>
        <color theme="1"/>
        <rFont val="Roboto"/>
      </rPr>
      <t>Decarbonization in Action</t>
    </r>
  </si>
  <si>
    <t xml:space="preserve">https://greenhealthcare.ca/accelerating-decarbonization/  </t>
  </si>
  <si>
    <t>Disclaimer</t>
  </si>
  <si>
    <t>treatments/day</t>
  </si>
  <si>
    <r>
      <rPr>
        <b/>
        <sz val="11"/>
        <color theme="8" tint="-0.249977111117893"/>
        <rFont val="Calibri"/>
        <family val="2"/>
      </rPr>
      <t>Note:</t>
    </r>
    <r>
      <rPr>
        <sz val="11"/>
        <color theme="8" tint="-0.249977111117893"/>
        <rFont val="Calibri"/>
        <family val="2"/>
      </rPr>
      <t xml:space="preserve"> The RO system produces water based on its own flow rate settings, independent of the actual water consumption by dialysis machines. This means that even if the dialysis machines are not using water for dialysate production, the RO will continue producing water—though at a slightly reduced rate, not exactly the same as its standard flow. For this calculation, potential changes in RO flow rate and reject rate were excluded to produce a conservative estimate of the environmental impact from changing Qd alone.</t>
    </r>
  </si>
  <si>
    <r>
      <rPr>
        <b/>
        <sz val="11"/>
        <color theme="8" tint="-0.249977111117893"/>
        <rFont val="Calibri"/>
        <family val="2"/>
      </rPr>
      <t>Note:</t>
    </r>
    <r>
      <rPr>
        <sz val="11"/>
        <color theme="8" tint="-0.249977111117893"/>
        <rFont val="Calibri"/>
        <family val="2"/>
      </rPr>
      <t xml:space="preserve"> As with RO reject water, differences in energy consumption by RO plan is excluded from the comparison.</t>
    </r>
  </si>
  <si>
    <r>
      <rPr>
        <b/>
        <sz val="11"/>
        <color theme="8" tint="-0.249977111117893"/>
        <rFont val="Calibri"/>
        <family val="2"/>
        <scheme val="minor"/>
      </rPr>
      <t xml:space="preserve">Note: </t>
    </r>
    <r>
      <rPr>
        <sz val="11"/>
        <color theme="8" tint="-0.249977111117893"/>
        <rFont val="Calibri"/>
        <family val="2"/>
        <scheme val="minor"/>
      </rPr>
      <t>Based on expert feedback, unused bicart leftover in the cartridge is discarded after each session. This means that dialysate flow rate and bicart consumption changes does not lead to a change in GHG emissions. This is therefore excluded in the comparison.</t>
    </r>
  </si>
  <si>
    <t>Dialysate consumables GHG Intensity</t>
  </si>
  <si>
    <r>
      <rPr>
        <b/>
        <sz val="11"/>
        <color theme="8" tint="-0.249977111117893"/>
        <rFont val="Calibri"/>
        <family val="2"/>
      </rPr>
      <t>Note:</t>
    </r>
    <r>
      <rPr>
        <sz val="11"/>
        <color theme="8" tint="-0.249977111117893"/>
        <rFont val="Calibri"/>
        <family val="2"/>
      </rPr>
      <t xml:space="preserve"> For this calculation, the upstream emissions impact of acid concentrate packaging is excluded, since the calculation focuses on impact from reduced acid use.</t>
    </r>
  </si>
  <si>
    <t>Reference Case</t>
  </si>
  <si>
    <t>Low-flow Case</t>
  </si>
  <si>
    <t>GHG emissions per treatment session (kgCO2e/session)</t>
  </si>
  <si>
    <t>Total GHG emissions per treatment</t>
  </si>
  <si>
    <t>GHG from water supply per treatment</t>
  </si>
  <si>
    <t>GHG from energy consumption per treatment</t>
  </si>
  <si>
    <t>GHG from wastewater treatment</t>
  </si>
  <si>
    <t>GHG from reduced acid concentrate usage</t>
  </si>
  <si>
    <t>Annual GHG savings (kgCO2e/year)</t>
  </si>
  <si>
    <t>Total GHG saving per treatment session (kgCO2e/session)</t>
  </si>
  <si>
    <t>Total GHG emissions</t>
  </si>
  <si>
    <t>GHG from reduced consumables</t>
  </si>
  <si>
    <t xml:space="preserve">Keep this value as zero if the goal is to quantify only flow rate related impact. Otherwise assume that heat disinfection lasts 1 hour.  </t>
  </si>
  <si>
    <t>Manual states that the dialysis machine energy consumption is 0.80 kWh during heat disinfection.</t>
  </si>
  <si>
    <t>Extrapolated dialysis machine power draw (kW)</t>
  </si>
  <si>
    <t>Dialysis machine power draw @ Qd=525 (kW)</t>
  </si>
  <si>
    <t>Linearly extrapolated</t>
  </si>
  <si>
    <t>Manual description that a dialysate flow of 525mL/min corresponds with energy consumption of 0.68 kWh during treatment</t>
  </si>
  <si>
    <t>Manual description that a dialysate flow of 525mL/min corresponds with water usage (with online treatment) of approximately 31 L/hour</t>
  </si>
  <si>
    <t>Water supply rate @ Qd=525 (L/hour)</t>
  </si>
  <si>
    <t>Extrapolated water supply rate (L/hour)</t>
  </si>
  <si>
    <t>Total water saving per year (L/year)</t>
  </si>
  <si>
    <t>Total energy saving per year (kWh/session)</t>
  </si>
  <si>
    <t>Used bags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</si>
</sst>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00"/>
    <numFmt numFmtId="165" formatCode="_-* #,##0_-;\-* #,##0_-;_-* &quot;-&quot;??_-;_-@_-"/>
    <numFmt numFmtId="166" formatCode="0.00000"/>
    <numFmt numFmtId="167" formatCode="_-* #,##0.000_-;\-* #,##0.000_-;_-* &quot;-&quot;??_-;_-@_-"/>
  </numFmts>
  <fonts count="4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sz val="11"/>
      <color theme="1"/>
      <name val="Calibri"/>
      <family val="2"/>
    </font>
    <font>
      <b/>
      <sz val="11"/>
      <color theme="1"/>
      <name val="Calibri"/>
      <family val="2"/>
    </font>
    <font>
      <u/>
      <sz val="11"/>
      <color theme="10"/>
      <name val="Calibri"/>
      <family val="2"/>
    </font>
    <font>
      <sz val="11"/>
      <color theme="1"/>
      <name val="Calibri"/>
      <family val="2"/>
      <scheme val="minor"/>
    </font>
    <font>
      <u/>
      <sz val="11"/>
      <color theme="10"/>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2"/>
      <color theme="1"/>
      <name val="Calibri"/>
      <family val="2"/>
    </font>
    <font>
      <b/>
      <sz val="14"/>
      <color theme="0"/>
      <name val="Calibri"/>
      <family val="2"/>
      <scheme val="minor"/>
    </font>
    <font>
      <sz val="11"/>
      <name val="Calibri"/>
      <family val="2"/>
      <scheme val="minor"/>
    </font>
    <font>
      <sz val="11"/>
      <name val="Calibri"/>
      <family val="2"/>
    </font>
    <font>
      <sz val="11"/>
      <color rgb="FF002060"/>
      <name val="Calibri"/>
      <family val="2"/>
      <scheme val="minor"/>
    </font>
    <font>
      <sz val="10"/>
      <name val="Verdana"/>
      <family val="2"/>
    </font>
    <font>
      <sz val="11"/>
      <color theme="1"/>
      <name val="Calibri"/>
      <family val="2"/>
      <scheme val="minor"/>
    </font>
    <font>
      <i/>
      <sz val="11"/>
      <color theme="1"/>
      <name val="Calibri"/>
      <family val="2"/>
      <scheme val="minor"/>
    </font>
    <font>
      <b/>
      <sz val="11"/>
      <color theme="5"/>
      <name val="Calibri"/>
      <family val="2"/>
      <scheme val="minor"/>
    </font>
    <font>
      <b/>
      <sz val="11"/>
      <color theme="1" tint="0.499984740745262"/>
      <name val="Calibri"/>
      <family val="2"/>
      <scheme val="minor"/>
    </font>
    <font>
      <b/>
      <sz val="14"/>
      <color theme="1"/>
      <name val="Roboto"/>
    </font>
    <font>
      <b/>
      <i/>
      <sz val="14"/>
      <color theme="1"/>
      <name val="Roboto"/>
    </font>
    <font>
      <u/>
      <sz val="11"/>
      <color rgb="FF00B0F0"/>
      <name val="Roboto"/>
    </font>
    <font>
      <b/>
      <sz val="14"/>
      <name val="Roboto"/>
    </font>
    <font>
      <sz val="11"/>
      <color theme="8" tint="-0.249977111117893"/>
      <name val="Calibri"/>
      <family val="2"/>
    </font>
    <font>
      <b/>
      <sz val="11"/>
      <color theme="8" tint="-0.249977111117893"/>
      <name val="Calibri"/>
      <family val="2"/>
    </font>
    <font>
      <sz val="11"/>
      <color theme="8" tint="-0.249977111117893"/>
      <name val="Calibri"/>
      <family val="2"/>
      <scheme val="minor"/>
    </font>
    <font>
      <b/>
      <sz val="11"/>
      <color theme="8" tint="-0.249977111117893"/>
      <name val="Calibri"/>
      <family val="2"/>
      <scheme val="minor"/>
    </font>
  </fonts>
  <fills count="14">
    <fill>
      <patternFill patternType="none"/>
    </fill>
    <fill>
      <patternFill patternType="gray125"/>
    </fill>
    <fill>
      <patternFill patternType="solid">
        <fgColor rgb="FFE2EFD9"/>
        <bgColor rgb="FFE2EFD9"/>
      </patternFill>
    </fill>
    <fill>
      <patternFill patternType="solid">
        <fgColor theme="4"/>
      </patternFill>
    </fill>
    <fill>
      <patternFill patternType="solid">
        <fgColor theme="5"/>
      </patternFill>
    </fill>
    <fill>
      <patternFill patternType="solid">
        <fgColor theme="9"/>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5" tint="0.79998168889431442"/>
        <bgColor indexed="65"/>
      </patternFill>
    </fill>
    <fill>
      <patternFill patternType="solid">
        <fgColor theme="6" tint="0.79998168889431442"/>
        <bgColor indexed="65"/>
      </patternFill>
    </fill>
  </fills>
  <borders count="2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53D5F"/>
      </left>
      <right style="thin">
        <color rgb="FF053D5F"/>
      </right>
      <top style="thin">
        <color rgb="FF053D5F"/>
      </top>
      <bottom style="thin">
        <color rgb="FF053D5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0" fontId="17" fillId="0" borderId="0" applyNumberFormat="0" applyFill="0" applyBorder="0" applyAlignment="0" applyProtection="0"/>
    <xf numFmtId="43" fontId="18" fillId="0" borderId="0" applyFont="0" applyFill="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8" fillId="0" borderId="2"/>
    <xf numFmtId="44" fontId="29" fillId="0" borderId="0" applyFont="0" applyFill="0" applyBorder="0" applyAlignment="0" applyProtection="0"/>
    <xf numFmtId="0" fontId="6" fillId="12" borderId="0" applyNumberFormat="0" applyBorder="0" applyAlignment="0" applyProtection="0"/>
    <xf numFmtId="0" fontId="6" fillId="13" borderId="0" applyNumberFormat="0" applyBorder="0" applyAlignment="0" applyProtection="0"/>
  </cellStyleXfs>
  <cellXfs count="254">
    <xf numFmtId="0" fontId="0" fillId="0" borderId="0" xfId="0" applyFont="1" applyAlignment="1"/>
    <xf numFmtId="0" fontId="13" fillId="0" borderId="0" xfId="0" applyFont="1" applyAlignment="1">
      <alignment wrapText="1"/>
    </xf>
    <xf numFmtId="0" fontId="13" fillId="2" borderId="1" xfId="0" applyFont="1" applyFill="1" applyBorder="1" applyAlignment="1">
      <alignment wrapText="1"/>
    </xf>
    <xf numFmtId="0" fontId="14" fillId="0" borderId="0" xfId="0" applyFont="1" applyAlignment="1">
      <alignment wrapText="1"/>
    </xf>
    <xf numFmtId="0" fontId="14" fillId="0" borderId="0" xfId="0" applyFont="1"/>
    <xf numFmtId="0" fontId="13" fillId="0" borderId="1" xfId="0" applyFont="1" applyBorder="1" applyAlignment="1">
      <alignment wrapText="1"/>
    </xf>
    <xf numFmtId="0" fontId="15" fillId="0" borderId="1" xfId="0" applyFont="1" applyBorder="1" applyAlignment="1">
      <alignment wrapText="1"/>
    </xf>
    <xf numFmtId="0" fontId="12" fillId="0" borderId="0" xfId="0" applyFont="1"/>
    <xf numFmtId="0" fontId="13" fillId="0" borderId="0" xfId="0" applyFont="1"/>
    <xf numFmtId="2" fontId="13" fillId="0" borderId="1" xfId="0" applyNumberFormat="1" applyFont="1" applyBorder="1"/>
    <xf numFmtId="0" fontId="14" fillId="2" borderId="1" xfId="0" applyFont="1" applyFill="1" applyBorder="1" applyAlignment="1">
      <alignment wrapText="1"/>
    </xf>
    <xf numFmtId="0" fontId="13" fillId="0" borderId="0" xfId="0" applyFont="1" applyAlignment="1">
      <alignment horizontal="left" wrapText="1"/>
    </xf>
    <xf numFmtId="0" fontId="13" fillId="0" borderId="2" xfId="0" applyFont="1" applyBorder="1" applyAlignment="1">
      <alignment wrapText="1"/>
    </xf>
    <xf numFmtId="0" fontId="0" fillId="0" borderId="2" xfId="0" applyFont="1" applyBorder="1" applyAlignment="1"/>
    <xf numFmtId="0" fontId="14" fillId="0" borderId="0" xfId="0" applyFont="1" applyAlignment="1">
      <alignment horizontal="left" wrapText="1"/>
    </xf>
    <xf numFmtId="0" fontId="13" fillId="0" borderId="0" xfId="0" applyFont="1" applyFill="1" applyAlignment="1">
      <alignment wrapText="1"/>
    </xf>
    <xf numFmtId="0" fontId="22" fillId="0" borderId="0" xfId="0" applyFont="1" applyAlignment="1"/>
    <xf numFmtId="0" fontId="23" fillId="0" borderId="0" xfId="0" applyFont="1" applyAlignment="1">
      <alignment wrapText="1"/>
    </xf>
    <xf numFmtId="0" fontId="13" fillId="0" borderId="0" xfId="0" applyFont="1" applyFill="1" applyAlignment="1">
      <alignment horizontal="left" wrapText="1"/>
    </xf>
    <xf numFmtId="0" fontId="14" fillId="0" borderId="0" xfId="0" applyFont="1" applyFill="1" applyAlignment="1">
      <alignment wrapText="1"/>
    </xf>
    <xf numFmtId="0" fontId="13" fillId="0" borderId="2" xfId="0" applyFont="1" applyBorder="1"/>
    <xf numFmtId="0" fontId="24" fillId="3" borderId="0" xfId="3" applyFont="1" applyAlignment="1">
      <alignment wrapText="1"/>
    </xf>
    <xf numFmtId="0" fontId="24" fillId="3" borderId="0" xfId="3" applyFont="1" applyAlignment="1"/>
    <xf numFmtId="0" fontId="24" fillId="4" borderId="0" xfId="4" applyFont="1" applyAlignment="1"/>
    <xf numFmtId="0" fontId="24" fillId="5" borderId="0" xfId="5" applyFont="1" applyAlignment="1">
      <alignment wrapText="1"/>
    </xf>
    <xf numFmtId="0" fontId="24" fillId="5" borderId="0" xfId="5" applyFont="1" applyAlignment="1"/>
    <xf numFmtId="0" fontId="13" fillId="0" borderId="3" xfId="0" applyFont="1" applyBorder="1" applyAlignment="1">
      <alignment wrapText="1"/>
    </xf>
    <xf numFmtId="0" fontId="17" fillId="0" borderId="2" xfId="1" applyBorder="1" applyAlignment="1">
      <alignment wrapText="1"/>
    </xf>
    <xf numFmtId="0" fontId="13" fillId="0" borderId="4" xfId="0" applyFont="1" applyBorder="1" applyAlignment="1">
      <alignment wrapText="1"/>
    </xf>
    <xf numFmtId="0" fontId="13" fillId="0" borderId="4" xfId="0" applyFont="1" applyBorder="1"/>
    <xf numFmtId="9" fontId="13" fillId="0" borderId="2" xfId="0" applyNumberFormat="1" applyFont="1" applyBorder="1" applyAlignment="1">
      <alignment wrapText="1"/>
    </xf>
    <xf numFmtId="0" fontId="14" fillId="0" borderId="4" xfId="0" applyFont="1" applyBorder="1" applyAlignment="1">
      <alignment wrapText="1"/>
    </xf>
    <xf numFmtId="9" fontId="13" fillId="0" borderId="4" xfId="0" applyNumberFormat="1" applyFont="1" applyBorder="1" applyAlignment="1">
      <alignment wrapText="1"/>
    </xf>
    <xf numFmtId="0" fontId="13" fillId="0" borderId="4" xfId="0" applyFont="1" applyFill="1" applyBorder="1" applyAlignment="1">
      <alignment wrapText="1"/>
    </xf>
    <xf numFmtId="0" fontId="13" fillId="0" borderId="4" xfId="0" applyFont="1" applyFill="1" applyBorder="1" applyAlignment="1">
      <alignment horizontal="left" wrapText="1"/>
    </xf>
    <xf numFmtId="0" fontId="14" fillId="0" borderId="4" xfId="0" applyFont="1" applyFill="1" applyBorder="1" applyAlignment="1">
      <alignment horizontal="left" wrapText="1"/>
    </xf>
    <xf numFmtId="0" fontId="13" fillId="0" borderId="4" xfId="0" applyFont="1" applyBorder="1" applyAlignment="1">
      <alignment horizontal="left" wrapText="1"/>
    </xf>
    <xf numFmtId="0" fontId="14" fillId="0" borderId="2" xfId="0" applyFont="1" applyBorder="1" applyAlignment="1">
      <alignment wrapText="1"/>
    </xf>
    <xf numFmtId="0" fontId="17" fillId="0" borderId="2" xfId="1" applyBorder="1" applyAlignment="1">
      <alignment vertical="center" wrapText="1"/>
    </xf>
    <xf numFmtId="0" fontId="14" fillId="0" borderId="4" xfId="0" applyFont="1" applyFill="1" applyBorder="1" applyAlignment="1">
      <alignment wrapText="1"/>
    </xf>
    <xf numFmtId="0" fontId="0" fillId="0" borderId="4" xfId="0" applyFont="1" applyBorder="1" applyAlignment="1"/>
    <xf numFmtId="0" fontId="13" fillId="0" borderId="4" xfId="0" applyFont="1" applyFill="1" applyBorder="1" applyAlignment="1">
      <alignment horizontal="left" wrapText="1" indent="1"/>
    </xf>
    <xf numFmtId="0" fontId="13" fillId="0" borderId="2" xfId="0" applyFont="1" applyFill="1" applyBorder="1" applyAlignment="1">
      <alignment horizontal="left" wrapText="1" indent="1"/>
    </xf>
    <xf numFmtId="0" fontId="13" fillId="0" borderId="2" xfId="0" applyFont="1" applyFill="1" applyBorder="1" applyAlignment="1">
      <alignment wrapText="1"/>
    </xf>
    <xf numFmtId="0" fontId="0" fillId="7" borderId="4" xfId="0" applyFill="1" applyBorder="1" applyAlignment="1">
      <alignment vertical="center"/>
    </xf>
    <xf numFmtId="0" fontId="0" fillId="7" borderId="4" xfId="0" applyFill="1" applyBorder="1" applyAlignment="1">
      <alignment vertical="center" wrapText="1"/>
    </xf>
    <xf numFmtId="2" fontId="0" fillId="7" borderId="4" xfId="0" applyNumberFormat="1" applyFill="1" applyBorder="1" applyAlignment="1">
      <alignment vertical="center"/>
    </xf>
    <xf numFmtId="0" fontId="0" fillId="7" borderId="4" xfId="0" applyFill="1" applyBorder="1" applyAlignment="1">
      <alignment horizontal="left" vertical="center" wrapText="1"/>
    </xf>
    <xf numFmtId="0" fontId="20" fillId="7" borderId="0" xfId="0" applyFont="1" applyFill="1" applyAlignment="1">
      <alignment vertical="center"/>
    </xf>
    <xf numFmtId="0" fontId="20" fillId="7" borderId="0" xfId="0" applyFont="1" applyFill="1" applyAlignment="1">
      <alignment vertical="center" wrapText="1"/>
    </xf>
    <xf numFmtId="0" fontId="17" fillId="0" borderId="4" xfId="1" applyBorder="1" applyAlignment="1">
      <alignment vertical="center"/>
    </xf>
    <xf numFmtId="0" fontId="24" fillId="4" borderId="0" xfId="4" applyFont="1" applyAlignment="1">
      <alignment vertical="center" wrapText="1"/>
    </xf>
    <xf numFmtId="0" fontId="24" fillId="4" borderId="0" xfId="4" applyFont="1" applyAlignment="1">
      <alignment vertical="center"/>
    </xf>
    <xf numFmtId="0" fontId="0" fillId="0" borderId="0" xfId="0" applyFont="1" applyAlignment="1">
      <alignment vertical="center"/>
    </xf>
    <xf numFmtId="0" fontId="20" fillId="0" borderId="0" xfId="0" applyFont="1" applyAlignment="1">
      <alignment vertical="center" wrapText="1"/>
    </xf>
    <xf numFmtId="0" fontId="20" fillId="0" borderId="0" xfId="0" applyFont="1" applyAlignment="1">
      <alignment vertical="center"/>
    </xf>
    <xf numFmtId="0" fontId="11" fillId="0" borderId="0" xfId="0" applyFont="1" applyAlignment="1">
      <alignment vertical="center" wrapText="1"/>
    </xf>
    <xf numFmtId="0" fontId="11" fillId="0" borderId="0" xfId="0" applyFont="1" applyAlignment="1">
      <alignment vertical="center"/>
    </xf>
    <xf numFmtId="0" fontId="19" fillId="0" borderId="0" xfId="0" applyFont="1" applyAlignment="1">
      <alignment vertical="center"/>
    </xf>
    <xf numFmtId="0" fontId="17" fillId="0" borderId="0" xfId="1" applyAlignment="1">
      <alignment vertical="center"/>
    </xf>
    <xf numFmtId="0" fontId="24" fillId="3" borderId="0" xfId="3" applyFont="1" applyAlignment="1">
      <alignment vertical="center" wrapText="1"/>
    </xf>
    <xf numFmtId="0" fontId="24" fillId="3" borderId="0" xfId="3" applyFont="1" applyAlignment="1">
      <alignment vertical="center"/>
    </xf>
    <xf numFmtId="0" fontId="24" fillId="5" borderId="0" xfId="5" applyFont="1" applyAlignment="1">
      <alignment vertical="center" wrapText="1"/>
    </xf>
    <xf numFmtId="0" fontId="24" fillId="5" borderId="0" xfId="5" applyFont="1" applyAlignment="1">
      <alignment vertical="center"/>
    </xf>
    <xf numFmtId="0" fontId="11" fillId="0" borderId="4" xfId="0" applyFont="1" applyBorder="1" applyAlignment="1">
      <alignment vertical="center" wrapText="1"/>
    </xf>
    <xf numFmtId="164" fontId="0" fillId="0" borderId="4" xfId="0" applyNumberFormat="1" applyFont="1" applyBorder="1" applyAlignment="1">
      <alignment vertical="center"/>
    </xf>
    <xf numFmtId="0" fontId="11" fillId="0" borderId="4" xfId="0" applyFont="1" applyBorder="1" applyAlignment="1">
      <alignment vertical="center"/>
    </xf>
    <xf numFmtId="0" fontId="0" fillId="0" borderId="0" xfId="0" applyFont="1" applyAlignment="1">
      <alignment vertical="center" wrapText="1"/>
    </xf>
    <xf numFmtId="0" fontId="13" fillId="0" borderId="2" xfId="0" applyFont="1" applyBorder="1" applyAlignment="1">
      <alignment horizontal="left" wrapText="1"/>
    </xf>
    <xf numFmtId="0" fontId="0" fillId="0" borderId="0" xfId="0" applyFont="1" applyAlignment="1">
      <alignment wrapText="1"/>
    </xf>
    <xf numFmtId="0" fontId="12" fillId="0" borderId="2" xfId="0" applyFont="1" applyFill="1" applyBorder="1" applyAlignment="1">
      <alignment wrapText="1"/>
    </xf>
    <xf numFmtId="0" fontId="20" fillId="0" borderId="4" xfId="0" applyFont="1" applyBorder="1" applyAlignment="1"/>
    <xf numFmtId="43" fontId="0" fillId="0" borderId="4" xfId="2" applyFont="1" applyBorder="1" applyAlignment="1"/>
    <xf numFmtId="0" fontId="10" fillId="0" borderId="0" xfId="0" applyFont="1" applyAlignment="1">
      <alignment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2" fontId="13" fillId="0" borderId="4" xfId="0" applyNumberFormat="1" applyFont="1" applyBorder="1" applyAlignment="1">
      <alignment wrapText="1"/>
    </xf>
    <xf numFmtId="2" fontId="24" fillId="4" borderId="0" xfId="4" applyNumberFormat="1" applyFont="1" applyAlignment="1">
      <alignment wrapText="1"/>
    </xf>
    <xf numFmtId="2" fontId="24" fillId="4" borderId="0" xfId="4" applyNumberFormat="1" applyFont="1" applyAlignment="1"/>
    <xf numFmtId="2" fontId="0" fillId="0" borderId="0" xfId="0" applyNumberFormat="1" applyFont="1" applyAlignment="1"/>
    <xf numFmtId="2" fontId="14" fillId="0" borderId="0" xfId="0" applyNumberFormat="1" applyFont="1"/>
    <xf numFmtId="2" fontId="13" fillId="0" borderId="4" xfId="2" applyNumberFormat="1" applyFont="1" applyFill="1" applyBorder="1"/>
    <xf numFmtId="2" fontId="13" fillId="0" borderId="2" xfId="0" applyNumberFormat="1" applyFont="1" applyFill="1" applyBorder="1" applyAlignment="1">
      <alignment wrapText="1"/>
    </xf>
    <xf numFmtId="2" fontId="13" fillId="0" borderId="0" xfId="0" applyNumberFormat="1" applyFont="1" applyAlignment="1">
      <alignment horizontal="left" wrapText="1"/>
    </xf>
    <xf numFmtId="2" fontId="13" fillId="0" borderId="0" xfId="0" applyNumberFormat="1" applyFont="1"/>
    <xf numFmtId="2" fontId="13" fillId="0" borderId="0" xfId="0" applyNumberFormat="1" applyFont="1" applyFill="1" applyAlignment="1">
      <alignment horizontal="left" wrapText="1"/>
    </xf>
    <xf numFmtId="2" fontId="13" fillId="0" borderId="4" xfId="0" applyNumberFormat="1" applyFont="1" applyBorder="1"/>
    <xf numFmtId="2" fontId="13" fillId="0" borderId="4" xfId="0" applyNumberFormat="1" applyFont="1" applyFill="1" applyBorder="1" applyAlignment="1">
      <alignment wrapText="1"/>
    </xf>
    <xf numFmtId="2" fontId="16" fillId="0" borderId="4" xfId="0" applyNumberFormat="1" applyFont="1" applyFill="1" applyBorder="1"/>
    <xf numFmtId="2" fontId="13" fillId="0" borderId="2" xfId="0" applyNumberFormat="1" applyFont="1" applyBorder="1" applyAlignment="1">
      <alignment wrapText="1"/>
    </xf>
    <xf numFmtId="2" fontId="13" fillId="6" borderId="4" xfId="0" applyNumberFormat="1" applyFont="1" applyFill="1" applyBorder="1" applyAlignment="1">
      <alignment wrapText="1"/>
    </xf>
    <xf numFmtId="2" fontId="13" fillId="0" borderId="0" xfId="0" applyNumberFormat="1" applyFont="1" applyAlignment="1">
      <alignment wrapText="1"/>
    </xf>
    <xf numFmtId="2" fontId="0" fillId="0" borderId="2" xfId="0" applyNumberFormat="1" applyFont="1" applyBorder="1" applyAlignment="1"/>
    <xf numFmtId="2" fontId="14" fillId="0" borderId="0" xfId="0" applyNumberFormat="1" applyFont="1" applyAlignment="1">
      <alignment wrapText="1"/>
    </xf>
    <xf numFmtId="2" fontId="13" fillId="8" borderId="4" xfId="0" applyNumberFormat="1" applyFont="1" applyFill="1" applyBorder="1" applyAlignment="1">
      <alignment wrapText="1"/>
    </xf>
    <xf numFmtId="2" fontId="16" fillId="8" borderId="4" xfId="0" applyNumberFormat="1" applyFont="1" applyFill="1" applyBorder="1"/>
    <xf numFmtId="2" fontId="24" fillId="3" borderId="0" xfId="3" applyNumberFormat="1" applyFont="1" applyAlignment="1">
      <alignment wrapText="1"/>
    </xf>
    <xf numFmtId="2" fontId="24" fillId="3" borderId="0" xfId="3" applyNumberFormat="1" applyFont="1" applyAlignment="1"/>
    <xf numFmtId="2" fontId="13" fillId="0" borderId="4" xfId="0" applyNumberFormat="1" applyFont="1" applyFill="1" applyBorder="1"/>
    <xf numFmtId="2" fontId="0" fillId="0" borderId="4" xfId="0" applyNumberFormat="1" applyFont="1" applyBorder="1" applyAlignment="1"/>
    <xf numFmtId="2" fontId="24" fillId="5" borderId="0" xfId="5" applyNumberFormat="1" applyFont="1" applyAlignment="1">
      <alignment wrapText="1"/>
    </xf>
    <xf numFmtId="2" fontId="24" fillId="5" borderId="0" xfId="5" applyNumberFormat="1" applyFont="1" applyAlignment="1"/>
    <xf numFmtId="2" fontId="13" fillId="2" borderId="1" xfId="0" applyNumberFormat="1" applyFont="1" applyFill="1" applyBorder="1"/>
    <xf numFmtId="2" fontId="13" fillId="0" borderId="1" xfId="0" applyNumberFormat="1" applyFont="1" applyBorder="1" applyAlignment="1">
      <alignment wrapText="1"/>
    </xf>
    <xf numFmtId="2" fontId="12" fillId="0" borderId="0" xfId="0" applyNumberFormat="1" applyFont="1"/>
    <xf numFmtId="2" fontId="14" fillId="0" borderId="6" xfId="0" applyNumberFormat="1" applyFont="1" applyBorder="1" applyAlignment="1">
      <alignment wrapText="1"/>
    </xf>
    <xf numFmtId="2" fontId="14" fillId="0" borderId="4" xfId="0" applyNumberFormat="1" applyFont="1" applyBorder="1" applyAlignment="1">
      <alignment wrapText="1"/>
    </xf>
    <xf numFmtId="2" fontId="13" fillId="0" borderId="5" xfId="0" applyNumberFormat="1" applyFont="1" applyBorder="1"/>
    <xf numFmtId="2" fontId="13" fillId="0" borderId="7" xfId="0" applyNumberFormat="1" applyFont="1" applyBorder="1"/>
    <xf numFmtId="2" fontId="13" fillId="0" borderId="2" xfId="0" applyNumberFormat="1" applyFont="1" applyBorder="1"/>
    <xf numFmtId="2" fontId="14" fillId="2" borderId="1" xfId="0" applyNumberFormat="1" applyFont="1" applyFill="1" applyBorder="1"/>
    <xf numFmtId="2" fontId="10" fillId="0" borderId="4" xfId="0" applyNumberFormat="1" applyFont="1" applyBorder="1" applyAlignment="1"/>
    <xf numFmtId="2" fontId="20" fillId="0" borderId="4" xfId="0" applyNumberFormat="1" applyFont="1" applyBorder="1" applyAlignment="1"/>
    <xf numFmtId="2" fontId="0" fillId="0" borderId="4" xfId="2" applyNumberFormat="1" applyFont="1" applyBorder="1" applyAlignment="1"/>
    <xf numFmtId="2" fontId="20" fillId="0" borderId="4" xfId="0" applyNumberFormat="1" applyFont="1" applyBorder="1" applyAlignment="1">
      <alignment wrapText="1"/>
    </xf>
    <xf numFmtId="164" fontId="13" fillId="0" borderId="4" xfId="2" applyNumberFormat="1" applyFont="1" applyFill="1" applyBorder="1" applyAlignment="1">
      <alignment wrapText="1"/>
    </xf>
    <xf numFmtId="2" fontId="13" fillId="9" borderId="4" xfId="0" applyNumberFormat="1" applyFont="1" applyFill="1" applyBorder="1" applyAlignment="1">
      <alignment wrapText="1"/>
    </xf>
    <xf numFmtId="0" fontId="8" fillId="0" borderId="0" xfId="0" applyFont="1" applyAlignment="1">
      <alignment vertical="center"/>
    </xf>
    <xf numFmtId="0" fontId="8" fillId="0" borderId="0" xfId="0" applyFont="1" applyAlignment="1">
      <alignment vertical="center" wrapText="1"/>
    </xf>
    <xf numFmtId="0" fontId="0" fillId="7" borderId="0" xfId="0" applyFont="1" applyFill="1" applyAlignment="1">
      <alignment vertical="center"/>
    </xf>
    <xf numFmtId="0" fontId="11" fillId="7" borderId="0" xfId="0" applyFont="1" applyFill="1" applyAlignment="1">
      <alignment vertical="center" wrapText="1"/>
    </xf>
    <xf numFmtId="0" fontId="8" fillId="7" borderId="0" xfId="0" applyFont="1" applyFill="1" applyAlignment="1">
      <alignment vertical="center"/>
    </xf>
    <xf numFmtId="0" fontId="19" fillId="7" borderId="0" xfId="0" applyFont="1" applyFill="1" applyAlignment="1">
      <alignment vertical="center"/>
    </xf>
    <xf numFmtId="165" fontId="26" fillId="0" borderId="4" xfId="2" applyNumberFormat="1" applyFont="1" applyFill="1" applyBorder="1" applyAlignment="1">
      <alignment wrapText="1"/>
    </xf>
    <xf numFmtId="0" fontId="7" fillId="0" borderId="0" xfId="0" applyFont="1" applyAlignment="1">
      <alignment vertical="center" wrapText="1"/>
    </xf>
    <xf numFmtId="166" fontId="27" fillId="7" borderId="2" xfId="2" applyNumberFormat="1" applyFont="1" applyFill="1" applyBorder="1" applyAlignment="1">
      <alignment horizontal="center" vertical="center"/>
    </xf>
    <xf numFmtId="0" fontId="7" fillId="0" borderId="4" xfId="0" applyFont="1" applyBorder="1" applyAlignment="1">
      <alignment vertical="center" wrapText="1"/>
    </xf>
    <xf numFmtId="0" fontId="0" fillId="0" borderId="4" xfId="0" applyFont="1" applyBorder="1" applyAlignment="1">
      <alignment vertical="center"/>
    </xf>
    <xf numFmtId="2" fontId="0" fillId="0" borderId="4" xfId="0" applyNumberFormat="1" applyFont="1" applyBorder="1" applyAlignment="1">
      <alignment horizontal="right" vertical="center"/>
    </xf>
    <xf numFmtId="2" fontId="27" fillId="7" borderId="4" xfId="2" applyNumberFormat="1" applyFont="1" applyFill="1" applyBorder="1" applyAlignment="1">
      <alignment horizontal="right" vertical="center"/>
    </xf>
    <xf numFmtId="0" fontId="7" fillId="0" borderId="14" xfId="0" applyFont="1" applyBorder="1" applyAlignment="1">
      <alignment vertical="center" wrapText="1"/>
    </xf>
    <xf numFmtId="165" fontId="0" fillId="0" borderId="15" xfId="2" applyNumberFormat="1" applyFont="1" applyFill="1" applyBorder="1" applyAlignment="1">
      <alignment horizontal="right" vertical="center"/>
    </xf>
    <xf numFmtId="0" fontId="7" fillId="0" borderId="15" xfId="0" applyFont="1" applyBorder="1" applyAlignment="1">
      <alignment vertical="center"/>
    </xf>
    <xf numFmtId="0" fontId="25" fillId="0" borderId="16" xfId="0" applyFont="1" applyBorder="1" applyAlignment="1">
      <alignment vertical="center"/>
    </xf>
    <xf numFmtId="0" fontId="7" fillId="0" borderId="17" xfId="0" applyFont="1" applyBorder="1" applyAlignment="1">
      <alignment vertical="center" wrapText="1"/>
    </xf>
    <xf numFmtId="165" fontId="0" fillId="0" borderId="18" xfId="2" applyNumberFormat="1" applyFont="1" applyFill="1" applyBorder="1" applyAlignment="1">
      <alignment horizontal="right" vertical="center"/>
    </xf>
    <xf numFmtId="0" fontId="7" fillId="0" borderId="18" xfId="0" applyFont="1" applyBorder="1" applyAlignment="1">
      <alignment vertical="center"/>
    </xf>
    <xf numFmtId="0" fontId="25" fillId="0" borderId="19" xfId="0" applyFont="1" applyBorder="1" applyAlignment="1">
      <alignment vertical="center"/>
    </xf>
    <xf numFmtId="0" fontId="8" fillId="0" borderId="4" xfId="0" applyFont="1" applyBorder="1" applyAlignment="1">
      <alignment vertical="center" wrapText="1"/>
    </xf>
    <xf numFmtId="0" fontId="8" fillId="0" borderId="4" xfId="0" applyFont="1" applyBorder="1" applyAlignment="1">
      <alignment vertical="center"/>
    </xf>
    <xf numFmtId="0" fontId="20" fillId="0" borderId="4" xfId="0" applyFont="1" applyBorder="1" applyAlignment="1">
      <alignment vertical="center"/>
    </xf>
    <xf numFmtId="0" fontId="7" fillId="0" borderId="4" xfId="0" applyFont="1" applyBorder="1" applyAlignment="1">
      <alignment vertical="center"/>
    </xf>
    <xf numFmtId="0" fontId="19" fillId="0" borderId="4" xfId="0" applyFont="1" applyBorder="1" applyAlignment="1">
      <alignment vertical="center"/>
    </xf>
    <xf numFmtId="0" fontId="9" fillId="0" borderId="4" xfId="0" applyFont="1" applyBorder="1" applyAlignment="1">
      <alignment vertical="center"/>
    </xf>
    <xf numFmtId="0" fontId="25" fillId="0" borderId="4" xfId="0" applyFont="1" applyBorder="1" applyAlignment="1">
      <alignment vertical="center"/>
    </xf>
    <xf numFmtId="0" fontId="11" fillId="7" borderId="4" xfId="0" applyFont="1" applyFill="1" applyBorder="1" applyAlignment="1">
      <alignment vertical="center" wrapText="1"/>
    </xf>
    <xf numFmtId="0" fontId="7" fillId="7" borderId="14" xfId="0" applyFont="1" applyFill="1" applyBorder="1" applyAlignment="1">
      <alignment vertical="center" wrapText="1"/>
    </xf>
    <xf numFmtId="0" fontId="7" fillId="7" borderId="17" xfId="0" applyFont="1" applyFill="1" applyBorder="1" applyAlignment="1">
      <alignment vertical="center" wrapText="1"/>
    </xf>
    <xf numFmtId="165" fontId="0" fillId="7" borderId="15" xfId="2" applyNumberFormat="1" applyFont="1" applyFill="1" applyBorder="1" applyAlignment="1">
      <alignment vertical="center"/>
    </xf>
    <xf numFmtId="165" fontId="0" fillId="7" borderId="18" xfId="2" applyNumberFormat="1" applyFont="1" applyFill="1" applyBorder="1" applyAlignment="1">
      <alignment vertical="center"/>
    </xf>
    <xf numFmtId="0" fontId="0" fillId="0" borderId="2" xfId="0" applyFill="1" applyBorder="1"/>
    <xf numFmtId="0" fontId="7" fillId="0" borderId="13" xfId="0" applyFont="1" applyBorder="1" applyAlignment="1">
      <alignment vertical="center" wrapText="1"/>
    </xf>
    <xf numFmtId="0" fontId="20" fillId="0" borderId="0" xfId="0" applyFont="1" applyAlignment="1"/>
    <xf numFmtId="0" fontId="17" fillId="0" borderId="11" xfId="1" applyBorder="1" applyAlignment="1">
      <alignment vertical="center"/>
    </xf>
    <xf numFmtId="0" fontId="17" fillId="0" borderId="12" xfId="1" applyBorder="1" applyAlignment="1">
      <alignment vertical="center"/>
    </xf>
    <xf numFmtId="0" fontId="17" fillId="0" borderId="13" xfId="1" applyBorder="1" applyAlignment="1">
      <alignment vertical="center"/>
    </xf>
    <xf numFmtId="2" fontId="27" fillId="7" borderId="10" xfId="2" applyNumberFormat="1" applyFont="1" applyFill="1" applyBorder="1" applyAlignment="1">
      <alignment horizontal="right" vertical="center"/>
    </xf>
    <xf numFmtId="9" fontId="25" fillId="0" borderId="4" xfId="0" applyNumberFormat="1" applyFont="1" applyBorder="1" applyAlignment="1">
      <alignment vertical="center"/>
    </xf>
    <xf numFmtId="0" fontId="20" fillId="0" borderId="4" xfId="0" applyFont="1" applyBorder="1" applyAlignment="1">
      <alignment vertical="center" wrapText="1"/>
    </xf>
    <xf numFmtId="0" fontId="20" fillId="0" borderId="20" xfId="0" applyFont="1" applyBorder="1" applyAlignment="1">
      <alignment vertical="center" wrapText="1"/>
    </xf>
    <xf numFmtId="165" fontId="0" fillId="0" borderId="21" xfId="0" applyNumberFormat="1" applyFont="1" applyBorder="1" applyAlignment="1">
      <alignment vertical="center"/>
    </xf>
    <xf numFmtId="0" fontId="7" fillId="0" borderId="22" xfId="0" applyFont="1" applyBorder="1" applyAlignment="1">
      <alignment vertical="center"/>
    </xf>
    <xf numFmtId="0" fontId="7" fillId="7" borderId="4" xfId="0" applyFont="1" applyFill="1" applyBorder="1" applyAlignment="1">
      <alignment vertical="center" wrapText="1"/>
    </xf>
    <xf numFmtId="0" fontId="25" fillId="0" borderId="13" xfId="0" applyFont="1" applyBorder="1" applyAlignment="1">
      <alignment horizontal="left" vertical="center"/>
    </xf>
    <xf numFmtId="167" fontId="0" fillId="0" borderId="4" xfId="2" applyNumberFormat="1" applyFont="1" applyBorder="1" applyAlignment="1">
      <alignment vertical="center"/>
    </xf>
    <xf numFmtId="43" fontId="0" fillId="0" borderId="4" xfId="0" applyNumberFormat="1" applyFont="1" applyBorder="1" applyAlignment="1">
      <alignment vertical="center"/>
    </xf>
    <xf numFmtId="0" fontId="20" fillId="0" borderId="23" xfId="0" applyFont="1" applyBorder="1" applyAlignment="1">
      <alignment vertical="center" wrapText="1"/>
    </xf>
    <xf numFmtId="0" fontId="20" fillId="0" borderId="25" xfId="0" applyFont="1" applyBorder="1" applyAlignment="1">
      <alignment vertical="center" wrapText="1"/>
    </xf>
    <xf numFmtId="2" fontId="13" fillId="7" borderId="4" xfId="0" applyNumberFormat="1" applyFont="1" applyFill="1" applyBorder="1" applyAlignment="1">
      <alignment wrapText="1"/>
    </xf>
    <xf numFmtId="2" fontId="30" fillId="0" borderId="0" xfId="0" applyNumberFormat="1" applyFont="1" applyAlignment="1"/>
    <xf numFmtId="0" fontId="6" fillId="0" borderId="4" xfId="0" applyFont="1" applyBorder="1" applyAlignment="1">
      <alignment vertical="center"/>
    </xf>
    <xf numFmtId="44" fontId="0" fillId="0" borderId="4" xfId="7" applyFont="1" applyBorder="1" applyAlignment="1">
      <alignment vertical="center"/>
    </xf>
    <xf numFmtId="0" fontId="8" fillId="7" borderId="4" xfId="0" applyFont="1" applyFill="1" applyBorder="1" applyAlignment="1">
      <alignment vertical="center" wrapText="1"/>
    </xf>
    <xf numFmtId="0" fontId="8" fillId="7" borderId="4" xfId="0" applyFont="1" applyFill="1" applyBorder="1" applyAlignment="1">
      <alignment vertical="center"/>
    </xf>
    <xf numFmtId="165" fontId="0" fillId="0" borderId="4" xfId="0" applyNumberFormat="1" applyFont="1" applyBorder="1" applyAlignment="1">
      <alignment vertical="center"/>
    </xf>
    <xf numFmtId="0" fontId="6" fillId="0" borderId="4" xfId="0" applyFont="1" applyBorder="1" applyAlignment="1">
      <alignment vertical="center" wrapText="1"/>
    </xf>
    <xf numFmtId="166" fontId="27" fillId="0" borderId="4" xfId="0" applyNumberFormat="1" applyFont="1" applyBorder="1" applyAlignment="1">
      <alignment horizontal="center"/>
    </xf>
    <xf numFmtId="43" fontId="6" fillId="0" borderId="4" xfId="0" applyNumberFormat="1" applyFont="1" applyBorder="1" applyAlignment="1">
      <alignment vertical="center"/>
    </xf>
    <xf numFmtId="165" fontId="0" fillId="9" borderId="26" xfId="0" applyNumberFormat="1" applyFont="1" applyFill="1" applyBorder="1" applyAlignment="1">
      <alignment vertical="center"/>
    </xf>
    <xf numFmtId="0" fontId="31" fillId="7" borderId="4" xfId="0" applyFont="1" applyFill="1" applyBorder="1" applyAlignment="1">
      <alignment vertical="center"/>
    </xf>
    <xf numFmtId="0" fontId="6" fillId="12" borderId="4" xfId="8" applyBorder="1" applyAlignment="1">
      <alignment vertical="center" wrapText="1"/>
    </xf>
    <xf numFmtId="0" fontId="32" fillId="7" borderId="4" xfId="0" applyFont="1" applyFill="1" applyBorder="1" applyAlignment="1">
      <alignment vertical="center"/>
    </xf>
    <xf numFmtId="0" fontId="6" fillId="13" borderId="4" xfId="9" applyBorder="1" applyAlignment="1">
      <alignment vertical="center" wrapText="1"/>
    </xf>
    <xf numFmtId="0" fontId="30" fillId="0" borderId="0" xfId="0" applyFont="1" applyAlignment="1">
      <alignment vertical="center"/>
    </xf>
    <xf numFmtId="165" fontId="0" fillId="0" borderId="2" xfId="0" applyNumberFormat="1" applyFont="1" applyBorder="1" applyAlignment="1">
      <alignment vertical="center"/>
    </xf>
    <xf numFmtId="165" fontId="13" fillId="0" borderId="4" xfId="2" applyNumberFormat="1" applyFont="1" applyBorder="1"/>
    <xf numFmtId="165" fontId="0" fillId="0" borderId="4" xfId="2" applyNumberFormat="1" applyFont="1" applyBorder="1" applyAlignment="1"/>
    <xf numFmtId="165" fontId="13" fillId="0" borderId="4" xfId="2" applyNumberFormat="1" applyFont="1" applyBorder="1" applyAlignment="1">
      <alignment wrapText="1"/>
    </xf>
    <xf numFmtId="0" fontId="5" fillId="0" borderId="4" xfId="0" applyFont="1" applyBorder="1" applyAlignment="1">
      <alignment vertical="center"/>
    </xf>
    <xf numFmtId="0" fontId="4" fillId="0" borderId="0" xfId="0" applyFont="1" applyAlignment="1">
      <alignment vertical="center"/>
    </xf>
    <xf numFmtId="0" fontId="4" fillId="0" borderId="4" xfId="0" applyFont="1" applyBorder="1" applyAlignment="1">
      <alignment vertical="center" wrapText="1"/>
    </xf>
    <xf numFmtId="165" fontId="0" fillId="9" borderId="24" xfId="0" applyNumberFormat="1" applyFont="1" applyFill="1" applyBorder="1" applyAlignment="1">
      <alignment vertical="center"/>
    </xf>
    <xf numFmtId="0" fontId="0" fillId="7" borderId="0" xfId="0" applyFont="1" applyFill="1" applyAlignment="1"/>
    <xf numFmtId="0" fontId="33" fillId="7" borderId="2" xfId="0" applyFont="1" applyFill="1" applyBorder="1"/>
    <xf numFmtId="0" fontId="35" fillId="7" borderId="2" xfId="1" applyFont="1" applyFill="1" applyBorder="1"/>
    <xf numFmtId="0" fontId="36" fillId="7" borderId="0" xfId="0" applyFont="1" applyFill="1"/>
    <xf numFmtId="0" fontId="2" fillId="0" borderId="4" xfId="0" applyFont="1" applyBorder="1" applyAlignment="1">
      <alignment vertical="center" wrapText="1"/>
    </xf>
    <xf numFmtId="0" fontId="2" fillId="0" borderId="4" xfId="0" applyFont="1" applyBorder="1" applyAlignment="1">
      <alignment vertical="center"/>
    </xf>
    <xf numFmtId="0" fontId="8" fillId="0" borderId="4" xfId="0" applyFont="1" applyFill="1" applyBorder="1" applyAlignment="1">
      <alignment vertical="center"/>
    </xf>
    <xf numFmtId="0" fontId="2" fillId="10" borderId="4" xfId="0" applyFont="1" applyFill="1" applyBorder="1" applyAlignment="1" applyProtection="1">
      <alignment vertical="center"/>
      <protection locked="0"/>
    </xf>
    <xf numFmtId="0" fontId="8" fillId="10" borderId="4" xfId="0" applyFont="1" applyFill="1" applyBorder="1" applyAlignment="1" applyProtection="1">
      <alignment vertical="center"/>
      <protection locked="0"/>
    </xf>
    <xf numFmtId="0" fontId="11" fillId="10" borderId="4" xfId="0" applyFont="1" applyFill="1" applyBorder="1" applyAlignment="1" applyProtection="1">
      <alignment vertical="center"/>
      <protection locked="0"/>
    </xf>
    <xf numFmtId="0" fontId="0" fillId="11" borderId="4" xfId="0" applyFont="1" applyFill="1" applyBorder="1" applyAlignment="1" applyProtection="1">
      <alignment vertical="center"/>
      <protection locked="0"/>
    </xf>
    <xf numFmtId="0" fontId="8" fillId="0" borderId="4" xfId="0" applyFont="1" applyBorder="1" applyAlignment="1">
      <alignment horizontal="left" vertical="center" wrapText="1"/>
    </xf>
    <xf numFmtId="0" fontId="6" fillId="0" borderId="4" xfId="0" applyFont="1" applyBorder="1" applyAlignment="1">
      <alignment horizontal="left" vertical="center" wrapText="1"/>
    </xf>
    <xf numFmtId="0" fontId="0" fillId="10" borderId="4" xfId="0" applyFont="1" applyFill="1" applyBorder="1" applyAlignment="1" applyProtection="1">
      <alignment vertical="center"/>
      <protection locked="0"/>
    </xf>
    <xf numFmtId="0" fontId="11" fillId="11" borderId="4" xfId="0" applyFont="1" applyFill="1" applyBorder="1" applyAlignment="1" applyProtection="1">
      <alignment vertical="center"/>
      <protection locked="0"/>
    </xf>
    <xf numFmtId="9" fontId="0" fillId="10" borderId="4" xfId="0" applyNumberFormat="1" applyFont="1" applyFill="1" applyBorder="1" applyAlignment="1" applyProtection="1">
      <alignment vertical="center"/>
      <protection locked="0"/>
    </xf>
    <xf numFmtId="0" fontId="37" fillId="0" borderId="2" xfId="0" applyFont="1" applyBorder="1" applyAlignment="1">
      <alignment horizontal="left" wrapText="1"/>
    </xf>
    <xf numFmtId="0" fontId="37" fillId="0" borderId="2" xfId="0" applyFont="1" applyFill="1" applyBorder="1" applyAlignment="1">
      <alignment wrapText="1"/>
    </xf>
    <xf numFmtId="0" fontId="39" fillId="0" borderId="0" xfId="0" applyFont="1" applyAlignment="1">
      <alignment wrapText="1"/>
    </xf>
    <xf numFmtId="0" fontId="38" fillId="0" borderId="2" xfId="0" applyFont="1" applyBorder="1" applyAlignment="1">
      <alignment wrapText="1"/>
    </xf>
    <xf numFmtId="0" fontId="37" fillId="0" borderId="2" xfId="0" applyFont="1" applyBorder="1"/>
    <xf numFmtId="0" fontId="0" fillId="0" borderId="4" xfId="0" applyFont="1" applyBorder="1" applyAlignment="1">
      <alignment wrapText="1"/>
    </xf>
    <xf numFmtId="0" fontId="37" fillId="0" borderId="0" xfId="0" applyFont="1" applyAlignment="1">
      <alignment wrapText="1"/>
    </xf>
    <xf numFmtId="2" fontId="13" fillId="10" borderId="4" xfId="2" applyNumberFormat="1" applyFont="1" applyFill="1" applyBorder="1" applyProtection="1">
      <protection locked="0"/>
    </xf>
    <xf numFmtId="2" fontId="13" fillId="0" borderId="4" xfId="2" applyNumberFormat="1" applyFont="1" applyFill="1" applyBorder="1" applyProtection="1"/>
    <xf numFmtId="0" fontId="24" fillId="7" borderId="0" xfId="4" applyFont="1" applyFill="1" applyAlignment="1"/>
    <xf numFmtId="2" fontId="24" fillId="7" borderId="0" xfId="4" applyNumberFormat="1" applyFont="1" applyFill="1" applyAlignment="1"/>
    <xf numFmtId="0" fontId="13" fillId="7" borderId="0" xfId="0" applyFont="1" applyFill="1" applyAlignment="1">
      <alignment wrapText="1"/>
    </xf>
    <xf numFmtId="2" fontId="13" fillId="8" borderId="4" xfId="2" applyNumberFormat="1" applyFont="1" applyFill="1" applyBorder="1" applyProtection="1">
      <protection locked="0"/>
    </xf>
    <xf numFmtId="2" fontId="13" fillId="10" borderId="4" xfId="0" applyNumberFormat="1" applyFont="1" applyFill="1" applyBorder="1" applyAlignment="1" applyProtection="1">
      <alignment wrapText="1"/>
      <protection locked="0"/>
    </xf>
    <xf numFmtId="2" fontId="13" fillId="10" borderId="4" xfId="0" applyNumberFormat="1" applyFont="1" applyFill="1" applyBorder="1" applyProtection="1">
      <protection locked="0"/>
    </xf>
    <xf numFmtId="0" fontId="2" fillId="0" borderId="0" xfId="0" applyFont="1" applyAlignment="1"/>
    <xf numFmtId="2" fontId="13" fillId="11" borderId="4" xfId="0" applyNumberFormat="1" applyFont="1" applyFill="1" applyBorder="1" applyAlignment="1" applyProtection="1">
      <alignment wrapText="1"/>
      <protection locked="0"/>
    </xf>
    <xf numFmtId="0" fontId="24" fillId="7" borderId="0" xfId="4" applyFont="1" applyFill="1" applyAlignment="1">
      <alignment vertical="center" wrapText="1"/>
    </xf>
    <xf numFmtId="0" fontId="24" fillId="7" borderId="0" xfId="4" applyFont="1" applyFill="1" applyAlignment="1">
      <alignment vertical="center"/>
    </xf>
    <xf numFmtId="1" fontId="13" fillId="6" borderId="4" xfId="0" applyNumberFormat="1" applyFont="1" applyFill="1" applyBorder="1" applyAlignment="1">
      <alignment horizontal="right" wrapText="1"/>
    </xf>
    <xf numFmtId="43" fontId="13" fillId="6" borderId="4" xfId="2" applyFont="1" applyFill="1" applyBorder="1" applyAlignment="1">
      <alignment horizontal="right" wrapText="1"/>
    </xf>
    <xf numFmtId="165" fontId="13" fillId="6" borderId="4" xfId="2" applyNumberFormat="1" applyFont="1" applyFill="1" applyBorder="1" applyAlignment="1">
      <alignment horizontal="right" wrapText="1"/>
    </xf>
    <xf numFmtId="43" fontId="13" fillId="6" borderId="4" xfId="2" applyFont="1" applyFill="1" applyBorder="1" applyAlignment="1">
      <alignment wrapText="1"/>
    </xf>
    <xf numFmtId="2" fontId="14" fillId="0" borderId="7" xfId="0" applyNumberFormat="1" applyFont="1" applyBorder="1" applyAlignment="1">
      <alignment horizontal="center" wrapText="1"/>
    </xf>
    <xf numFmtId="2" fontId="14" fillId="0" borderId="8" xfId="0" applyNumberFormat="1" applyFont="1" applyBorder="1" applyAlignment="1">
      <alignment horizontal="center" wrapText="1"/>
    </xf>
    <xf numFmtId="2" fontId="14" fillId="0" borderId="9" xfId="0" applyNumberFormat="1" applyFont="1" applyBorder="1" applyAlignment="1">
      <alignment horizontal="center" wrapText="1"/>
    </xf>
    <xf numFmtId="0" fontId="14" fillId="0" borderId="7" xfId="0" applyFont="1" applyBorder="1" applyAlignment="1">
      <alignment horizontal="center" wrapText="1"/>
    </xf>
    <xf numFmtId="0" fontId="14" fillId="0" borderId="8" xfId="0" applyFont="1" applyBorder="1" applyAlignment="1">
      <alignment horizontal="center" wrapText="1"/>
    </xf>
    <xf numFmtId="0" fontId="14" fillId="0" borderId="9" xfId="0" applyFont="1" applyBorder="1" applyAlignment="1">
      <alignment horizontal="center" wrapText="1"/>
    </xf>
    <xf numFmtId="0" fontId="20" fillId="0" borderId="7" xfId="0" applyFont="1" applyBorder="1" applyAlignment="1">
      <alignment horizontal="center"/>
    </xf>
    <xf numFmtId="0" fontId="20" fillId="0" borderId="8" xfId="0" applyFont="1" applyBorder="1" applyAlignment="1">
      <alignment horizontal="center"/>
    </xf>
    <xf numFmtId="0" fontId="20" fillId="0" borderId="9" xfId="0" applyFont="1" applyBorder="1" applyAlignment="1">
      <alignment horizontal="center"/>
    </xf>
    <xf numFmtId="0" fontId="17" fillId="0" borderId="4" xfId="1" applyBorder="1" applyAlignment="1">
      <alignment horizontal="left"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7" fillId="0" borderId="11" xfId="1" applyBorder="1" applyAlignment="1">
      <alignment horizontal="left" vertical="center" wrapText="1"/>
    </xf>
    <xf numFmtId="0" fontId="17" fillId="0" borderId="12" xfId="1" applyBorder="1" applyAlignment="1">
      <alignment horizontal="left" vertical="center" wrapText="1"/>
    </xf>
    <xf numFmtId="0" fontId="17" fillId="0" borderId="13" xfId="1" applyBorder="1" applyAlignment="1">
      <alignment horizontal="left" vertical="center" wrapText="1"/>
    </xf>
    <xf numFmtId="0" fontId="25" fillId="0" borderId="4" xfId="0" applyFont="1" applyBorder="1" applyAlignment="1">
      <alignment horizontal="left" vertical="center" wrapText="1"/>
    </xf>
    <xf numFmtId="0" fontId="0" fillId="0" borderId="4" xfId="0" applyFont="1" applyBorder="1" applyAlignment="1">
      <alignment horizontal="left" vertical="center"/>
    </xf>
    <xf numFmtId="0" fontId="0" fillId="0" borderId="4" xfId="0" applyFont="1" applyBorder="1" applyAlignment="1">
      <alignment horizontal="left" vertical="center" wrapText="1"/>
    </xf>
    <xf numFmtId="165" fontId="3" fillId="0" borderId="11" xfId="2" applyNumberFormat="1" applyFont="1" applyFill="1" applyBorder="1" applyAlignment="1">
      <alignment horizontal="center" vertical="center" wrapText="1"/>
    </xf>
    <xf numFmtId="165" fontId="0" fillId="0" borderId="12" xfId="2" applyNumberFormat="1" applyFont="1" applyFill="1" applyBorder="1" applyAlignment="1">
      <alignment horizontal="center" vertical="center" wrapText="1"/>
    </xf>
    <xf numFmtId="165" fontId="0" fillId="0" borderId="13" xfId="2" applyNumberFormat="1" applyFont="1" applyFill="1" applyBorder="1" applyAlignment="1">
      <alignment horizontal="center" vertical="center" wrapText="1"/>
    </xf>
    <xf numFmtId="0" fontId="25" fillId="0" borderId="11" xfId="0" applyFont="1" applyBorder="1" applyAlignment="1">
      <alignment horizontal="left" vertical="center"/>
    </xf>
    <xf numFmtId="0" fontId="25" fillId="0" borderId="13" xfId="0" applyFont="1" applyBorder="1" applyAlignment="1">
      <alignment horizontal="left" vertical="center"/>
    </xf>
  </cellXfs>
  <cellStyles count="10">
    <cellStyle name="20% - Accent2" xfId="8" builtinId="34"/>
    <cellStyle name="20% - Accent3" xfId="9" builtinId="38"/>
    <cellStyle name="Accent1" xfId="3" builtinId="29"/>
    <cellStyle name="Accent2" xfId="4" builtinId="33"/>
    <cellStyle name="Accent6" xfId="5" builtinId="49"/>
    <cellStyle name="Comma" xfId="2" builtinId="3"/>
    <cellStyle name="Currency" xfId="7" builtinId="4"/>
    <cellStyle name="Hyperlink" xfId="1" builtinId="8"/>
    <cellStyle name="Normal" xfId="0" builtinId="0"/>
    <cellStyle name="Normal 128" xfId="6" xr:uid="{196F5F0D-0AD8-47A7-BBC8-71958E355B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Annual</a:t>
            </a:r>
            <a:r>
              <a:rPr lang="en-CA" baseline="0"/>
              <a:t> GHG Savings from Low Dialysate Flow</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'Calculations Low Dialysate Flow'!$B$73</c:f>
              <c:strCache>
                <c:ptCount val="1"/>
                <c:pt idx="0">
                  <c:v>GHG from water supply per treatment</c:v>
                </c:pt>
              </c:strCache>
            </c:strRef>
          </c:tx>
          <c:spPr>
            <a:solidFill>
              <a:schemeClr val="accent6"/>
            </a:solidFill>
            <a:ln>
              <a:noFill/>
            </a:ln>
            <a:effectLst/>
          </c:spPr>
          <c:invertIfNegative val="0"/>
          <c:cat>
            <c:strRef>
              <c:f>'Calculations Low Dialysate Flow'!$C$71:$D$71</c:f>
              <c:strCache>
                <c:ptCount val="2"/>
                <c:pt idx="0">
                  <c:v>Reference Case</c:v>
                </c:pt>
                <c:pt idx="1">
                  <c:v>Low-flow Case</c:v>
                </c:pt>
              </c:strCache>
            </c:strRef>
          </c:cat>
          <c:val>
            <c:numRef>
              <c:f>'Calculations Low Dialysate Flow'!$C$73:$D$73</c:f>
              <c:numCache>
                <c:formatCode>_-* #,##0_-;\-* #,##0_-;_-* "-"??_-;_-@_-</c:formatCode>
                <c:ptCount val="2"/>
                <c:pt idx="0">
                  <c:v>340.66309412571428</c:v>
                </c:pt>
                <c:pt idx="1">
                  <c:v>212.91443382857139</c:v>
                </c:pt>
              </c:numCache>
            </c:numRef>
          </c:val>
          <c:extLst>
            <c:ext xmlns:c16="http://schemas.microsoft.com/office/drawing/2014/chart" uri="{C3380CC4-5D6E-409C-BE32-E72D297353CC}">
              <c16:uniqueId val="{00000000-2B7E-44B9-8408-71465C6AF7F9}"/>
            </c:ext>
          </c:extLst>
        </c:ser>
        <c:ser>
          <c:idx val="1"/>
          <c:order val="1"/>
          <c:tx>
            <c:strRef>
              <c:f>'Calculations Low Dialysate Flow'!$B$74</c:f>
              <c:strCache>
                <c:ptCount val="1"/>
                <c:pt idx="0">
                  <c:v>GHG from energy consumption per treatment</c:v>
                </c:pt>
              </c:strCache>
            </c:strRef>
          </c:tx>
          <c:spPr>
            <a:solidFill>
              <a:schemeClr val="accent5"/>
            </a:solidFill>
            <a:ln>
              <a:noFill/>
            </a:ln>
            <a:effectLst/>
          </c:spPr>
          <c:invertIfNegative val="0"/>
          <c:cat>
            <c:strRef>
              <c:f>'Calculations Low Dialysate Flow'!$C$71:$D$71</c:f>
              <c:strCache>
                <c:ptCount val="2"/>
                <c:pt idx="0">
                  <c:v>Reference Case</c:v>
                </c:pt>
                <c:pt idx="1">
                  <c:v>Low-flow Case</c:v>
                </c:pt>
              </c:strCache>
            </c:strRef>
          </c:cat>
          <c:val>
            <c:numRef>
              <c:f>'Calculations Low Dialysate Flow'!$C$74:$D$74</c:f>
              <c:numCache>
                <c:formatCode>_-* #,##0_-;\-* #,##0_-;_-* "-"??_-;_-@_-</c:formatCode>
                <c:ptCount val="2"/>
                <c:pt idx="0">
                  <c:v>12883.810011428573</c:v>
                </c:pt>
                <c:pt idx="1">
                  <c:v>8052.3812571428571</c:v>
                </c:pt>
              </c:numCache>
            </c:numRef>
          </c:val>
          <c:extLst>
            <c:ext xmlns:c16="http://schemas.microsoft.com/office/drawing/2014/chart" uri="{C3380CC4-5D6E-409C-BE32-E72D297353CC}">
              <c16:uniqueId val="{00000001-2B7E-44B9-8408-71465C6AF7F9}"/>
            </c:ext>
          </c:extLst>
        </c:ser>
        <c:ser>
          <c:idx val="2"/>
          <c:order val="2"/>
          <c:tx>
            <c:strRef>
              <c:f>'Calculations Low Dialysate Flow'!$B$75</c:f>
              <c:strCache>
                <c:ptCount val="1"/>
                <c:pt idx="0">
                  <c:v>GHG from wastewater treatment</c:v>
                </c:pt>
              </c:strCache>
            </c:strRef>
          </c:tx>
          <c:spPr>
            <a:solidFill>
              <a:schemeClr val="accent4"/>
            </a:solidFill>
            <a:ln>
              <a:noFill/>
            </a:ln>
            <a:effectLst/>
          </c:spPr>
          <c:invertIfNegative val="0"/>
          <c:cat>
            <c:strRef>
              <c:f>'Calculations Low Dialysate Flow'!$C$71:$D$71</c:f>
              <c:strCache>
                <c:ptCount val="2"/>
                <c:pt idx="0">
                  <c:v>Reference Case</c:v>
                </c:pt>
                <c:pt idx="1">
                  <c:v>Low-flow Case</c:v>
                </c:pt>
              </c:strCache>
            </c:strRef>
          </c:cat>
          <c:val>
            <c:numRef>
              <c:f>'Calculations Low Dialysate Flow'!$C$75:$D$75</c:f>
              <c:numCache>
                <c:formatCode>_-* #,##0_-;\-* #,##0_-;_-* "-"??_-;_-@_-</c:formatCode>
                <c:ptCount val="2"/>
                <c:pt idx="0">
                  <c:v>59.667553028571433</c:v>
                </c:pt>
                <c:pt idx="1">
                  <c:v>37.641921942857145</c:v>
                </c:pt>
              </c:numCache>
            </c:numRef>
          </c:val>
          <c:extLst>
            <c:ext xmlns:c16="http://schemas.microsoft.com/office/drawing/2014/chart" uri="{C3380CC4-5D6E-409C-BE32-E72D297353CC}">
              <c16:uniqueId val="{00000002-2B7E-44B9-8408-71465C6AF7F9}"/>
            </c:ext>
          </c:extLst>
        </c:ser>
        <c:ser>
          <c:idx val="3"/>
          <c:order val="3"/>
          <c:tx>
            <c:strRef>
              <c:f>'Calculations Low Dialysate Flow'!$B$76</c:f>
              <c:strCache>
                <c:ptCount val="1"/>
                <c:pt idx="0">
                  <c:v>GHG from reduced consumables</c:v>
                </c:pt>
              </c:strCache>
            </c:strRef>
          </c:tx>
          <c:spPr>
            <a:solidFill>
              <a:schemeClr val="accent6">
                <a:lumMod val="60000"/>
              </a:schemeClr>
            </a:solidFill>
            <a:ln>
              <a:noFill/>
            </a:ln>
            <a:effectLst/>
          </c:spPr>
          <c:invertIfNegative val="0"/>
          <c:cat>
            <c:strRef>
              <c:f>'Calculations Low Dialysate Flow'!$C$71:$D$71</c:f>
              <c:strCache>
                <c:ptCount val="2"/>
                <c:pt idx="0">
                  <c:v>Reference Case</c:v>
                </c:pt>
                <c:pt idx="1">
                  <c:v>Low-flow Case</c:v>
                </c:pt>
              </c:strCache>
            </c:strRef>
          </c:cat>
          <c:val>
            <c:numRef>
              <c:f>'Calculations Low Dialysate Flow'!$C$76:$D$76</c:f>
              <c:numCache>
                <c:formatCode>_-* #,##0_-;\-* #,##0_-;_-* "-"??_-;_-@_-</c:formatCode>
                <c:ptCount val="2"/>
                <c:pt idx="0">
                  <c:v>25572.587713055436</c:v>
                </c:pt>
                <c:pt idx="1">
                  <c:v>15982.867320659647</c:v>
                </c:pt>
              </c:numCache>
            </c:numRef>
          </c:val>
          <c:extLst>
            <c:ext xmlns:c16="http://schemas.microsoft.com/office/drawing/2014/chart" uri="{C3380CC4-5D6E-409C-BE32-E72D297353CC}">
              <c16:uniqueId val="{00000003-2B7E-44B9-8408-71465C6AF7F9}"/>
            </c:ext>
          </c:extLst>
        </c:ser>
        <c:dLbls>
          <c:showLegendKey val="0"/>
          <c:showVal val="0"/>
          <c:showCatName val="0"/>
          <c:showSerName val="0"/>
          <c:showPercent val="0"/>
          <c:showBubbleSize val="0"/>
        </c:dLbls>
        <c:gapWidth val="150"/>
        <c:overlap val="100"/>
        <c:axId val="131614240"/>
        <c:axId val="131611744"/>
      </c:barChart>
      <c:catAx>
        <c:axId val="13161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611744"/>
        <c:crosses val="autoZero"/>
        <c:auto val="1"/>
        <c:lblAlgn val="ctr"/>
        <c:lblOffset val="100"/>
        <c:noMultiLvlLbl val="0"/>
      </c:catAx>
      <c:valAx>
        <c:axId val="131611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kgCO2e/year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6142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xdr:col>
      <xdr:colOff>561975</xdr:colOff>
      <xdr:row>1</xdr:row>
      <xdr:rowOff>52566</xdr:rowOff>
    </xdr:from>
    <xdr:to>
      <xdr:col>11</xdr:col>
      <xdr:colOff>543669</xdr:colOff>
      <xdr:row>6</xdr:row>
      <xdr:rowOff>4941</xdr:rowOff>
    </xdr:to>
    <xdr:pic>
      <xdr:nvPicPr>
        <xdr:cNvPr id="2" name="Picture 1">
          <a:extLst>
            <a:ext uri="{FF2B5EF4-FFF2-40B4-BE49-F238E27FC236}">
              <a16:creationId xmlns:a16="http://schemas.microsoft.com/office/drawing/2014/main" id="{6061DCB4-3B6B-424C-A4C5-141D9A319DE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330" b="31280"/>
        <a:stretch/>
      </xdr:blipFill>
      <xdr:spPr bwMode="auto">
        <a:xfrm>
          <a:off x="4429125" y="243066"/>
          <a:ext cx="2420094"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0</xdr:row>
      <xdr:rowOff>152400</xdr:rowOff>
    </xdr:from>
    <xdr:to>
      <xdr:col>7</xdr:col>
      <xdr:colOff>466072</xdr:colOff>
      <xdr:row>6</xdr:row>
      <xdr:rowOff>95607</xdr:rowOff>
    </xdr:to>
    <xdr:pic>
      <xdr:nvPicPr>
        <xdr:cNvPr id="3" name="Picture 2">
          <a:extLst>
            <a:ext uri="{FF2B5EF4-FFF2-40B4-BE49-F238E27FC236}">
              <a16:creationId xmlns:a16="http://schemas.microsoft.com/office/drawing/2014/main" id="{445E95F3-4AEF-4C70-BDA6-4F40343C48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152400"/>
          <a:ext cx="4076047" cy="1086207"/>
        </a:xfrm>
        <a:prstGeom prst="rect">
          <a:avLst/>
        </a:prstGeom>
      </xdr:spPr>
    </xdr:pic>
    <xdr:clientData/>
  </xdr:twoCellAnchor>
  <xdr:twoCellAnchor>
    <xdr:from>
      <xdr:col>0</xdr:col>
      <xdr:colOff>171450</xdr:colOff>
      <xdr:row>8</xdr:row>
      <xdr:rowOff>47625</xdr:rowOff>
    </xdr:from>
    <xdr:to>
      <xdr:col>14</xdr:col>
      <xdr:colOff>200024</xdr:colOff>
      <xdr:row>9</xdr:row>
      <xdr:rowOff>28575</xdr:rowOff>
    </xdr:to>
    <xdr:sp macro="" textlink="">
      <xdr:nvSpPr>
        <xdr:cNvPr id="4" name="TextBox 3">
          <a:extLst>
            <a:ext uri="{FF2B5EF4-FFF2-40B4-BE49-F238E27FC236}">
              <a16:creationId xmlns:a16="http://schemas.microsoft.com/office/drawing/2014/main" id="{F3579AFB-8880-4E8C-8017-046CD6EF424F}"/>
            </a:ext>
          </a:extLst>
        </xdr:cNvPr>
        <xdr:cNvSpPr txBox="1"/>
      </xdr:nvSpPr>
      <xdr:spPr>
        <a:xfrm>
          <a:off x="171450" y="1619250"/>
          <a:ext cx="8162924" cy="108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solidFill>
                <a:srgbClr val="595959"/>
              </a:solidFill>
              <a:latin typeface="Roboto" panose="02000000000000000000" pitchFamily="2" charset="0"/>
              <a:ea typeface="Roboto" panose="02000000000000000000" pitchFamily="2" charset="0"/>
            </a:rPr>
            <a:t>This resource was developed as part of the Decarbonization in Action project, supporting Canadian hospitals to reduce greenhouse gas emissions across building systems, clinical activities, and organizational processes. </a:t>
          </a:r>
        </a:p>
        <a:p>
          <a:endParaRPr lang="en-CA" sz="1200">
            <a:solidFill>
              <a:srgbClr val="595959"/>
            </a:solidFill>
            <a:latin typeface="Roboto" panose="02000000000000000000" pitchFamily="2" charset="0"/>
            <a:ea typeface="Roboto" panose="02000000000000000000" pitchFamily="2" charset="0"/>
          </a:endParaRPr>
        </a:p>
        <a:p>
          <a:r>
            <a:rPr lang="en-CA" sz="1200">
              <a:solidFill>
                <a:srgbClr val="595959"/>
              </a:solidFill>
              <a:latin typeface="Roboto" panose="02000000000000000000" pitchFamily="2" charset="0"/>
              <a:ea typeface="Roboto" panose="02000000000000000000" pitchFamily="2" charset="0"/>
            </a:rPr>
            <a:t>This project is a partnership of the Canadian Coalition for Green Health Care and MaRS Discovery District, and made possible by the Peter Gilgan Foundation.</a:t>
          </a:r>
        </a:p>
      </xdr:txBody>
    </xdr:sp>
    <xdr:clientData/>
  </xdr:twoCellAnchor>
  <xdr:twoCellAnchor>
    <xdr:from>
      <xdr:col>0</xdr:col>
      <xdr:colOff>161925</xdr:colOff>
      <xdr:row>12</xdr:row>
      <xdr:rowOff>0</xdr:rowOff>
    </xdr:from>
    <xdr:to>
      <xdr:col>14</xdr:col>
      <xdr:colOff>2</xdr:colOff>
      <xdr:row>24</xdr:row>
      <xdr:rowOff>66676</xdr:rowOff>
    </xdr:to>
    <xdr:sp macro="" textlink="">
      <xdr:nvSpPr>
        <xdr:cNvPr id="5" name="TextBox 4">
          <a:extLst>
            <a:ext uri="{FF2B5EF4-FFF2-40B4-BE49-F238E27FC236}">
              <a16:creationId xmlns:a16="http://schemas.microsoft.com/office/drawing/2014/main" id="{1BD5BCBE-5B3C-410F-8B8D-D4169594129B}"/>
            </a:ext>
          </a:extLst>
        </xdr:cNvPr>
        <xdr:cNvSpPr txBox="1"/>
      </xdr:nvSpPr>
      <xdr:spPr>
        <a:xfrm>
          <a:off x="161925" y="3295650"/>
          <a:ext cx="7972427" cy="23526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CA" sz="1200">
              <a:solidFill>
                <a:srgbClr val="595959"/>
              </a:solidFill>
              <a:latin typeface="Roboto" panose="02000000000000000000" pitchFamily="2" charset="0"/>
              <a:ea typeface="Roboto" panose="02000000000000000000" pitchFamily="2" charset="0"/>
            </a:rPr>
            <a:t>The</a:t>
          </a:r>
          <a:r>
            <a:rPr lang="en-CA" sz="1200" baseline="0">
              <a:solidFill>
                <a:srgbClr val="595959"/>
              </a:solidFill>
              <a:latin typeface="Roboto" panose="02000000000000000000" pitchFamily="2" charset="0"/>
              <a:ea typeface="Roboto" panose="02000000000000000000" pitchFamily="2" charset="0"/>
            </a:rPr>
            <a:t> carbon impact and cost-benefit calculators </a:t>
          </a:r>
          <a:r>
            <a:rPr lang="en-CA" sz="1200">
              <a:solidFill>
                <a:srgbClr val="595959"/>
              </a:solidFill>
              <a:latin typeface="Roboto" panose="02000000000000000000" pitchFamily="2" charset="0"/>
              <a:ea typeface="Roboto" panose="02000000000000000000" pitchFamily="2" charset="0"/>
            </a:rPr>
            <a:t>are intended to help hospitals estimate the project-level carbon and financial saving potential of certain initiatives relative to the business-as-usual scenario. The</a:t>
          </a:r>
          <a:r>
            <a:rPr lang="en-CA" sz="1200" baseline="0">
              <a:solidFill>
                <a:srgbClr val="595959"/>
              </a:solidFill>
              <a:latin typeface="Roboto" panose="02000000000000000000" pitchFamily="2" charset="0"/>
              <a:ea typeface="Roboto" panose="02000000000000000000" pitchFamily="2" charset="0"/>
            </a:rPr>
            <a:t> results could be used to inform </a:t>
          </a:r>
          <a:r>
            <a:rPr lang="en-CA" sz="1200" baseline="0">
              <a:solidFill>
                <a:srgbClr val="595959"/>
              </a:solidFill>
              <a:latin typeface="Roboto" panose="02000000000000000000" pitchFamily="2" charset="0"/>
              <a:ea typeface="Roboto" panose="02000000000000000000" pitchFamily="2" charset="0"/>
              <a:cs typeface="+mn-cs"/>
            </a:rPr>
            <a:t>impact evaluation, business case development, and in some cases compare alternative scenarios.</a:t>
          </a:r>
        </a:p>
        <a:p>
          <a:endParaRPr lang="en-CA" sz="1200">
            <a:solidFill>
              <a:srgbClr val="595959"/>
            </a:solidFill>
            <a:latin typeface="Roboto" panose="02000000000000000000" pitchFamily="2" charset="0"/>
            <a:ea typeface="Roboto" panose="02000000000000000000" pitchFamily="2" charset="0"/>
          </a:endParaRPr>
        </a:p>
        <a:p>
          <a:r>
            <a:rPr lang="en-CA" sz="1200">
              <a:solidFill>
                <a:srgbClr val="595959"/>
              </a:solidFill>
              <a:latin typeface="Roboto" panose="02000000000000000000" pitchFamily="2" charset="0"/>
              <a:ea typeface="Roboto" panose="02000000000000000000" pitchFamily="2" charset="0"/>
            </a:rPr>
            <a:t>Where feasible, these calculators take a life cycle approach and aim to capture whole life cycle emissions impacts. Some calculators are more detailed and customizable, while others provide higher-level estimates based on established models and public sources. The calculation boundary, methodology, assumptions, references, and key data sources are stated within each tool. </a:t>
          </a:r>
        </a:p>
        <a:p>
          <a:endParaRPr lang="en-CA" sz="1200">
            <a:solidFill>
              <a:srgbClr val="595959"/>
            </a:solidFill>
            <a:latin typeface="Roboto" panose="02000000000000000000" pitchFamily="2" charset="0"/>
            <a:ea typeface="Roboto" panose="02000000000000000000" pitchFamily="2" charset="0"/>
          </a:endParaRPr>
        </a:p>
        <a:p>
          <a:r>
            <a:rPr lang="en-CA" sz="1200">
              <a:solidFill>
                <a:srgbClr val="595959"/>
              </a:solidFill>
              <a:latin typeface="Roboto" panose="02000000000000000000" pitchFamily="2" charset="0"/>
              <a:ea typeface="Roboto" panose="02000000000000000000" pitchFamily="2" charset="0"/>
            </a:rPr>
            <a:t>These calculators are intended for project-level estimation only and should not be used for organizational emissions accounting or cited as ISO-compliant life cycle assessments. Please contact us if you encounter any issues with these resources.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187778</xdr:colOff>
      <xdr:row>98</xdr:row>
      <xdr:rowOff>122464</xdr:rowOff>
    </xdr:from>
    <xdr:ext cx="5159829" cy="2287361"/>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5033171" y="20016107"/>
          <a:ext cx="5159829" cy="2287361"/>
        </a:xfrm>
        <a:prstGeom prst="rect">
          <a:avLst/>
        </a:prstGeom>
        <a:noFill/>
      </xdr:spPr>
    </xdr:pic>
    <xdr:clientData fLocksWithSheet="0"/>
  </xdr:oneCellAnchor>
  <xdr:twoCellAnchor>
    <xdr:from>
      <xdr:col>4</xdr:col>
      <xdr:colOff>341778</xdr:colOff>
      <xdr:row>61</xdr:row>
      <xdr:rowOff>135590</xdr:rowOff>
    </xdr:from>
    <xdr:to>
      <xdr:col>4</xdr:col>
      <xdr:colOff>5793441</xdr:colOff>
      <xdr:row>77</xdr:row>
      <xdr:rowOff>11206</xdr:rowOff>
    </xdr:to>
    <xdr:graphicFrame macro="">
      <xdr:nvGraphicFramePr>
        <xdr:cNvPr id="3" name="Chart 2">
          <a:extLst>
            <a:ext uri="{FF2B5EF4-FFF2-40B4-BE49-F238E27FC236}">
              <a16:creationId xmlns:a16="http://schemas.microsoft.com/office/drawing/2014/main" id="{524576D2-45BA-4FA1-A491-749AD9FD64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reenhealthcare.ca/accelerating-decarbonizatio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poliswaterproject.org/wp-content/blogs.dir/162/files/sites/162/2009/03/Greenhouse-Gas-and-Energy-Co-Benefits-of-Water-Conservation.pdf" TargetMode="External"/><Relationship Id="rId2" Type="http://schemas.openxmlformats.org/officeDocument/2006/relationships/hyperlink" Target="https://www.toronto.ca/services-payments/water-environment/tap-water-in-toronto/" TargetMode="External"/><Relationship Id="rId1" Type="http://schemas.openxmlformats.org/officeDocument/2006/relationships/hyperlink" Target="https://carbon.taf.ca/2024/electricity-grid"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https://www.protectingwater.ca/our-watersheds/hamilton-region-source-protection-are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uk/government/publications/greenhouse-gas-reporting-conversion-factors-2025" TargetMode="External"/><Relationship Id="rId3" Type="http://schemas.openxmlformats.org/officeDocument/2006/relationships/hyperlink" Target="https://pmc.ncbi.nlm.nih.gov/articles/PMC7148294/" TargetMode="External"/><Relationship Id="rId7" Type="http://schemas.openxmlformats.org/officeDocument/2006/relationships/hyperlink" Target="https://www.sciencedirect.com/science/article/pii/S0048969725019771" TargetMode="External"/><Relationship Id="rId2" Type="http://schemas.openxmlformats.org/officeDocument/2006/relationships/hyperlink" Target="https://journals.sagepub.com/doi/10.1177/01410768231166135" TargetMode="External"/><Relationship Id="rId1" Type="http://schemas.openxmlformats.org/officeDocument/2006/relationships/hyperlink" Target="https://carbon.taf.ca/2024/electricity-grid" TargetMode="External"/><Relationship Id="rId6" Type="http://schemas.openxmlformats.org/officeDocument/2006/relationships/hyperlink" Target="https://www.sciencedirect.com/science/article/pii/S0048969725019771" TargetMode="External"/><Relationship Id="rId5" Type="http://schemas.openxmlformats.org/officeDocument/2006/relationships/hyperlink" Target="https://www.epa.gov/climateleadership/ghg-emission-factors-hub" TargetMode="External"/><Relationship Id="rId10" Type="http://schemas.openxmlformats.org/officeDocument/2006/relationships/printerSettings" Target="../printerSettings/printerSettings2.bin"/><Relationship Id="rId4" Type="http://schemas.openxmlformats.org/officeDocument/2006/relationships/hyperlink" Target="https://www.gov.uk/government/publications/greenhouse-gas-reporting-conversion-factors-2025" TargetMode="External"/><Relationship Id="rId9" Type="http://schemas.openxmlformats.org/officeDocument/2006/relationships/hyperlink" Target="https://www.sciencedirect.com/science/article/pii/S00489697250197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12138-1C8C-4106-A7A5-1886D19F9E5C}">
  <sheetPr>
    <tabColor rgb="FFFFC000"/>
  </sheetPr>
  <dimension ref="B8:B12"/>
  <sheetViews>
    <sheetView tabSelected="1" topLeftCell="A6" workbookViewId="0">
      <selection activeCell="A26" sqref="A26:XFD27"/>
    </sheetView>
  </sheetViews>
  <sheetFormatPr defaultRowHeight="15" x14ac:dyDescent="0.25"/>
  <cols>
    <col min="1" max="1" width="3.140625" style="192" customWidth="1"/>
    <col min="2" max="16384" width="9.140625" style="192"/>
  </cols>
  <sheetData>
    <row r="8" spans="2:2" ht="18.75" x14ac:dyDescent="0.3">
      <c r="B8" s="193" t="s">
        <v>280</v>
      </c>
    </row>
    <row r="9" spans="2:2" ht="87" customHeight="1" x14ac:dyDescent="0.25"/>
    <row r="10" spans="2:2" x14ac:dyDescent="0.25">
      <c r="B10" s="194" t="s">
        <v>281</v>
      </c>
    </row>
    <row r="12" spans="2:2" ht="18.75" x14ac:dyDescent="0.3">
      <c r="B12" s="195" t="s">
        <v>282</v>
      </c>
    </row>
  </sheetData>
  <sheetProtection algorithmName="SHA-512" hashValue="Qxo0K5Rqk1B+Q3zzB7h51qZENK/k7unSno4ThTEaMfN++hEB4zfUymURreq3lUW1QEl9vUoo4a8V8wdyJdHZVw==" saltValue="CH/GxelX502tOnokVRdCcw==" spinCount="100000" sheet="1" objects="1" scenarios="1"/>
  <hyperlinks>
    <hyperlink ref="B10" r:id="rId1" xr:uid="{164D3FEE-8AD9-430E-B361-6A99803C0C3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993"/>
  <sheetViews>
    <sheetView showGridLines="0" zoomScale="85" zoomScaleNormal="85" workbookViewId="0">
      <selection activeCell="C11" sqref="C11"/>
    </sheetView>
  </sheetViews>
  <sheetFormatPr defaultColWidth="14.42578125" defaultRowHeight="15" customHeight="1" x14ac:dyDescent="0.25"/>
  <cols>
    <col min="1" max="1" width="3" customWidth="1"/>
    <col min="2" max="2" width="98.140625" customWidth="1"/>
    <col min="3" max="3" width="57.85546875" style="79" customWidth="1"/>
    <col min="4" max="4" width="66.5703125" style="79" customWidth="1"/>
    <col min="5" max="5" width="161.42578125" bestFit="1" customWidth="1"/>
    <col min="6" max="6" width="39.7109375" customWidth="1"/>
    <col min="7" max="7" width="20.7109375" customWidth="1"/>
    <col min="8" max="8" width="80.28515625" bestFit="1" customWidth="1"/>
    <col min="9" max="9" width="71.7109375" customWidth="1"/>
    <col min="10" max="10" width="18.7109375" bestFit="1" customWidth="1"/>
    <col min="11" max="11" width="22" bestFit="1" customWidth="1"/>
    <col min="12" max="12" width="56.140625" customWidth="1"/>
    <col min="13" max="13" width="18.7109375" bestFit="1" customWidth="1"/>
    <col min="14" max="14" width="22" bestFit="1" customWidth="1"/>
    <col min="15" max="15" width="198.7109375" bestFit="1" customWidth="1"/>
    <col min="16" max="27" width="8.7109375" customWidth="1"/>
  </cols>
  <sheetData>
    <row r="1" spans="2:6" ht="15.75" customHeight="1" x14ac:dyDescent="0.3">
      <c r="B1" s="23" t="s">
        <v>54</v>
      </c>
      <c r="C1" s="77"/>
      <c r="D1" s="78"/>
      <c r="E1" s="23"/>
      <c r="F1" s="1"/>
    </row>
    <row r="2" spans="2:6" s="192" customFormat="1" ht="15.75" customHeight="1" x14ac:dyDescent="0.3">
      <c r="D2" s="218"/>
      <c r="E2" s="217"/>
      <c r="F2" s="219"/>
    </row>
    <row r="3" spans="2:6" s="192" customFormat="1" ht="15.75" customHeight="1" x14ac:dyDescent="0.3">
      <c r="B3" s="179" t="s">
        <v>266</v>
      </c>
      <c r="C3" s="180" t="s">
        <v>267</v>
      </c>
      <c r="D3" s="218"/>
      <c r="E3" s="217"/>
      <c r="F3" s="219"/>
    </row>
    <row r="4" spans="2:6" s="192" customFormat="1" ht="15.75" customHeight="1" x14ac:dyDescent="0.3">
      <c r="B4" s="181" t="s">
        <v>268</v>
      </c>
      <c r="C4" s="182" t="s">
        <v>269</v>
      </c>
      <c r="D4" s="218"/>
      <c r="E4" s="217"/>
      <c r="F4" s="219"/>
    </row>
    <row r="5" spans="2:6" ht="15.75" customHeight="1" x14ac:dyDescent="0.25"/>
    <row r="6" spans="2:6" ht="15.75" customHeight="1" x14ac:dyDescent="0.25">
      <c r="B6" s="3" t="s">
        <v>23</v>
      </c>
      <c r="C6" s="80" t="s">
        <v>289</v>
      </c>
      <c r="D6" s="80" t="s">
        <v>290</v>
      </c>
      <c r="E6" s="3" t="s">
        <v>24</v>
      </c>
      <c r="F6" s="1"/>
    </row>
    <row r="7" spans="2:6" ht="15.75" customHeight="1" x14ac:dyDescent="0.25">
      <c r="B7" s="33" t="s">
        <v>31</v>
      </c>
      <c r="C7" s="215">
        <v>800</v>
      </c>
      <c r="D7" s="215">
        <v>500</v>
      </c>
      <c r="E7" s="28" t="s">
        <v>32</v>
      </c>
      <c r="F7" s="1"/>
    </row>
    <row r="8" spans="2:6" ht="15.75" customHeight="1" x14ac:dyDescent="0.25">
      <c r="B8" s="33" t="s">
        <v>33</v>
      </c>
      <c r="C8" s="215">
        <v>4</v>
      </c>
      <c r="D8" s="215">
        <v>4</v>
      </c>
      <c r="E8" s="28" t="s">
        <v>34</v>
      </c>
      <c r="F8" s="1"/>
    </row>
    <row r="9" spans="2:6" ht="15.75" customHeight="1" x14ac:dyDescent="0.25">
      <c r="B9" s="33" t="s">
        <v>38</v>
      </c>
      <c r="C9" s="220">
        <v>0</v>
      </c>
      <c r="D9" s="220">
        <v>0</v>
      </c>
      <c r="E9" s="28" t="s">
        <v>301</v>
      </c>
      <c r="F9" s="1"/>
    </row>
    <row r="10" spans="2:6" ht="15.75" customHeight="1" x14ac:dyDescent="0.25">
      <c r="B10" s="33" t="s">
        <v>82</v>
      </c>
      <c r="C10" s="215">
        <v>135</v>
      </c>
      <c r="D10" s="215">
        <v>135</v>
      </c>
      <c r="E10" s="28" t="s">
        <v>74</v>
      </c>
      <c r="F10" s="1"/>
    </row>
    <row r="11" spans="2:6" ht="15.75" customHeight="1" x14ac:dyDescent="0.25">
      <c r="B11" s="33" t="s">
        <v>83</v>
      </c>
      <c r="C11" s="215">
        <v>6</v>
      </c>
      <c r="D11" s="215">
        <v>6</v>
      </c>
      <c r="E11" s="28"/>
      <c r="F11" s="1"/>
    </row>
    <row r="12" spans="2:6" ht="15.75" customHeight="1" x14ac:dyDescent="0.25">
      <c r="B12" s="33" t="s">
        <v>84</v>
      </c>
      <c r="C12" s="215">
        <v>52</v>
      </c>
      <c r="D12" s="215">
        <v>52</v>
      </c>
      <c r="E12" s="28"/>
      <c r="F12" s="1"/>
    </row>
    <row r="13" spans="2:6" ht="15.75" customHeight="1" x14ac:dyDescent="0.25">
      <c r="B13" s="33" t="s">
        <v>25</v>
      </c>
      <c r="C13" s="123">
        <f>C10*C11*C12</f>
        <v>42120</v>
      </c>
      <c r="D13" s="123">
        <f>D10*D11*D12</f>
        <v>42120</v>
      </c>
      <c r="E13" s="28" t="s">
        <v>121</v>
      </c>
      <c r="F13" s="1"/>
    </row>
    <row r="14" spans="2:6" ht="15.75" customHeight="1" x14ac:dyDescent="0.25">
      <c r="B14" s="11"/>
      <c r="C14" s="83"/>
      <c r="D14" s="84"/>
      <c r="E14" s="8"/>
      <c r="F14" s="1"/>
    </row>
    <row r="15" spans="2:6" ht="15.75" customHeight="1" x14ac:dyDescent="0.25">
      <c r="B15" s="14" t="s">
        <v>37</v>
      </c>
      <c r="C15" s="80" t="s">
        <v>289</v>
      </c>
      <c r="D15" s="80" t="s">
        <v>290</v>
      </c>
      <c r="E15" s="3" t="s">
        <v>24</v>
      </c>
      <c r="F15" s="1"/>
    </row>
    <row r="16" spans="2:6" ht="15.75" customHeight="1" x14ac:dyDescent="0.25">
      <c r="B16" s="33" t="s">
        <v>308</v>
      </c>
      <c r="C16" s="222">
        <v>31</v>
      </c>
      <c r="D16" s="222">
        <v>31</v>
      </c>
      <c r="E16" s="28" t="s">
        <v>307</v>
      </c>
      <c r="F16" s="1"/>
    </row>
    <row r="17" spans="2:6" ht="15.75" customHeight="1" x14ac:dyDescent="0.25">
      <c r="B17" s="34" t="s">
        <v>309</v>
      </c>
      <c r="C17" s="216">
        <f>C16/525*C7</f>
        <v>47.238095238095241</v>
      </c>
      <c r="D17" s="216">
        <f>D16/525*D7</f>
        <v>29.523809523809526</v>
      </c>
      <c r="E17" s="28" t="s">
        <v>305</v>
      </c>
      <c r="F17" s="1"/>
    </row>
    <row r="18" spans="2:6" ht="15.75" customHeight="1" x14ac:dyDescent="0.25">
      <c r="B18" s="33" t="s">
        <v>278</v>
      </c>
      <c r="C18" s="81">
        <f>C17*C8</f>
        <v>188.95238095238096</v>
      </c>
      <c r="D18" s="81">
        <f>D17*D8</f>
        <v>118.0952380952381</v>
      </c>
      <c r="E18" s="28" t="s">
        <v>121</v>
      </c>
      <c r="F18" s="1"/>
    </row>
    <row r="19" spans="2:6" ht="15.75" customHeight="1" x14ac:dyDescent="0.25">
      <c r="B19" s="33" t="s">
        <v>39</v>
      </c>
      <c r="C19" s="215">
        <v>14</v>
      </c>
      <c r="D19" s="215">
        <v>14</v>
      </c>
      <c r="E19" s="28" t="s">
        <v>42</v>
      </c>
      <c r="F19" s="1"/>
    </row>
    <row r="20" spans="2:6" x14ac:dyDescent="0.25">
      <c r="B20" s="33" t="s">
        <v>45</v>
      </c>
      <c r="C20" s="81">
        <f>C19*C9</f>
        <v>0</v>
      </c>
      <c r="D20" s="216">
        <f>D19*D9</f>
        <v>0</v>
      </c>
      <c r="E20" s="28" t="s">
        <v>121</v>
      </c>
      <c r="F20" s="1"/>
    </row>
    <row r="21" spans="2:6" ht="15.75" customHeight="1" x14ac:dyDescent="0.25">
      <c r="B21" s="34" t="s">
        <v>46</v>
      </c>
      <c r="C21" s="227">
        <f>C18+C20</f>
        <v>188.95238095238096</v>
      </c>
      <c r="D21" s="227">
        <f>D18+D20</f>
        <v>118.0952380952381</v>
      </c>
      <c r="E21" s="29"/>
      <c r="F21" s="1"/>
    </row>
    <row r="22" spans="2:6" ht="15.75" customHeight="1" x14ac:dyDescent="0.25">
      <c r="D22" s="85"/>
      <c r="E22" s="8"/>
      <c r="F22" s="1"/>
    </row>
    <row r="23" spans="2:6" ht="15.75" customHeight="1" x14ac:dyDescent="0.25">
      <c r="B23" s="35" t="s">
        <v>51</v>
      </c>
      <c r="C23" s="229">
        <f>C21-D21</f>
        <v>70.857142857142861</v>
      </c>
      <c r="D23" s="85"/>
      <c r="E23" s="8"/>
      <c r="F23" s="1"/>
    </row>
    <row r="24" spans="2:6" ht="15.75" customHeight="1" x14ac:dyDescent="0.25">
      <c r="B24" s="35" t="s">
        <v>310</v>
      </c>
      <c r="C24" s="229">
        <f>C23*C13</f>
        <v>2984502.8571428573</v>
      </c>
      <c r="D24" s="85"/>
      <c r="E24" s="8"/>
      <c r="F24" s="1"/>
    </row>
    <row r="25" spans="2:6" ht="15.75" customHeight="1" x14ac:dyDescent="0.25">
      <c r="B25" s="18"/>
      <c r="C25" s="85"/>
      <c r="D25" s="85"/>
      <c r="E25" s="8"/>
      <c r="F25" s="1"/>
    </row>
    <row r="26" spans="2:6" ht="15.75" customHeight="1" x14ac:dyDescent="0.25">
      <c r="B26" s="14" t="s">
        <v>49</v>
      </c>
      <c r="C26" s="80" t="s">
        <v>289</v>
      </c>
      <c r="D26" s="80" t="s">
        <v>290</v>
      </c>
      <c r="E26" s="3" t="s">
        <v>24</v>
      </c>
      <c r="F26" s="1"/>
    </row>
    <row r="27" spans="2:6" ht="15.75" customHeight="1" x14ac:dyDescent="0.25">
      <c r="B27" s="36" t="s">
        <v>47</v>
      </c>
      <c r="C27" s="221">
        <v>3</v>
      </c>
      <c r="D27" s="222">
        <v>3</v>
      </c>
      <c r="E27" s="29" t="s">
        <v>26</v>
      </c>
      <c r="F27" s="1"/>
    </row>
    <row r="28" spans="2:6" x14ac:dyDescent="0.25">
      <c r="B28" s="34" t="s">
        <v>129</v>
      </c>
      <c r="C28" s="87">
        <f>C21</f>
        <v>188.95238095238096</v>
      </c>
      <c r="D28" s="88">
        <f>D21</f>
        <v>118.0952380952381</v>
      </c>
      <c r="E28" s="29" t="s">
        <v>130</v>
      </c>
      <c r="F28" s="1"/>
    </row>
    <row r="29" spans="2:6" ht="15.75" customHeight="1" x14ac:dyDescent="0.25">
      <c r="B29" s="36" t="s">
        <v>48</v>
      </c>
      <c r="C29" s="76">
        <f>C27+C28</f>
        <v>191.95238095238096</v>
      </c>
      <c r="D29" s="76">
        <f>D27+D28</f>
        <v>121.0952380952381</v>
      </c>
      <c r="E29" s="29" t="s">
        <v>131</v>
      </c>
      <c r="F29" s="1"/>
    </row>
    <row r="30" spans="2:6" ht="15.75" customHeight="1" x14ac:dyDescent="0.25">
      <c r="B30" s="68"/>
      <c r="C30" s="89"/>
      <c r="D30" s="89"/>
      <c r="E30" s="20"/>
      <c r="F30" s="1"/>
    </row>
    <row r="31" spans="2:6" ht="85.5" customHeight="1" x14ac:dyDescent="0.25">
      <c r="B31" s="208" t="s">
        <v>284</v>
      </c>
      <c r="C31" s="89"/>
      <c r="D31" s="89"/>
      <c r="E31" s="20"/>
      <c r="F31" s="1"/>
    </row>
    <row r="32" spans="2:6" ht="15.75" customHeight="1" x14ac:dyDescent="0.25">
      <c r="B32" s="68"/>
      <c r="C32" s="89"/>
      <c r="D32" s="89"/>
      <c r="E32" s="20"/>
      <c r="F32" s="1"/>
    </row>
    <row r="33" spans="2:6" ht="15.75" customHeight="1" x14ac:dyDescent="0.25">
      <c r="B33" s="19" t="s">
        <v>36</v>
      </c>
      <c r="C33" s="80" t="s">
        <v>289</v>
      </c>
      <c r="D33" s="80" t="s">
        <v>290</v>
      </c>
      <c r="E33" s="3" t="s">
        <v>24</v>
      </c>
      <c r="F33" s="1"/>
    </row>
    <row r="34" spans="2:6" ht="15.75" customHeight="1" x14ac:dyDescent="0.25">
      <c r="B34" s="33" t="s">
        <v>304</v>
      </c>
      <c r="C34" s="222">
        <v>0.68</v>
      </c>
      <c r="D34" s="222">
        <v>0.68</v>
      </c>
      <c r="E34" s="29" t="s">
        <v>306</v>
      </c>
      <c r="F34" s="1"/>
    </row>
    <row r="35" spans="2:6" ht="15.75" customHeight="1" x14ac:dyDescent="0.25">
      <c r="B35" s="34" t="s">
        <v>303</v>
      </c>
      <c r="C35" s="87">
        <f>C34/525*C7</f>
        <v>1.0361904761904763</v>
      </c>
      <c r="D35" s="87">
        <f>D34/525*D7</f>
        <v>0.64761904761904765</v>
      </c>
      <c r="E35" s="223" t="s">
        <v>305</v>
      </c>
      <c r="F35" s="1"/>
    </row>
    <row r="36" spans="2:6" ht="15.75" customHeight="1" x14ac:dyDescent="0.25">
      <c r="B36" s="33" t="s">
        <v>40</v>
      </c>
      <c r="C36" s="224">
        <v>0.8</v>
      </c>
      <c r="D36" s="224">
        <v>0.8</v>
      </c>
      <c r="E36" s="28" t="s">
        <v>302</v>
      </c>
      <c r="F36" s="1"/>
    </row>
    <row r="37" spans="2:6" ht="15.75" customHeight="1" x14ac:dyDescent="0.25">
      <c r="B37" s="33" t="s">
        <v>35</v>
      </c>
      <c r="C37" s="87">
        <f>C35*C8</f>
        <v>4.1447619047619053</v>
      </c>
      <c r="D37" s="87">
        <f>D35*D8</f>
        <v>2.5904761904761906</v>
      </c>
      <c r="E37" s="29" t="s">
        <v>121</v>
      </c>
      <c r="F37" s="1"/>
    </row>
    <row r="38" spans="2:6" ht="15" customHeight="1" x14ac:dyDescent="0.25">
      <c r="B38" s="33" t="s">
        <v>41</v>
      </c>
      <c r="C38" s="81">
        <f>C36*C9</f>
        <v>0</v>
      </c>
      <c r="D38" s="81">
        <f>D36*D9</f>
        <v>0</v>
      </c>
      <c r="E38" s="29" t="s">
        <v>121</v>
      </c>
    </row>
    <row r="39" spans="2:6" ht="15.75" customHeight="1" x14ac:dyDescent="0.25">
      <c r="B39" s="33" t="s">
        <v>50</v>
      </c>
      <c r="C39" s="90">
        <f>C37+C38</f>
        <v>4.1447619047619053</v>
      </c>
      <c r="D39" s="90">
        <f>D37+D38</f>
        <v>2.5904761904761906</v>
      </c>
      <c r="E39" s="29"/>
      <c r="F39" s="1"/>
    </row>
    <row r="40" spans="2:6" x14ac:dyDescent="0.25">
      <c r="B40" s="43"/>
      <c r="C40" s="82"/>
      <c r="D40" s="82"/>
      <c r="E40" s="20"/>
      <c r="F40" s="1"/>
    </row>
    <row r="41" spans="2:6" s="69" customFormat="1" ht="30" x14ac:dyDescent="0.25">
      <c r="B41" s="209" t="s">
        <v>285</v>
      </c>
      <c r="C41" s="82"/>
      <c r="D41" s="82"/>
      <c r="E41" s="12"/>
      <c r="F41" s="1"/>
    </row>
    <row r="42" spans="2:6" ht="15.75" customHeight="1" x14ac:dyDescent="0.25">
      <c r="B42" s="15"/>
      <c r="C42" s="91"/>
      <c r="F42" s="1"/>
    </row>
    <row r="43" spans="2:6" ht="15.75" customHeight="1" x14ac:dyDescent="0.25">
      <c r="B43" s="39" t="s">
        <v>52</v>
      </c>
      <c r="C43" s="230">
        <f>C39-D39</f>
        <v>1.5542857142857147</v>
      </c>
      <c r="E43" s="8"/>
      <c r="F43" s="1"/>
    </row>
    <row r="44" spans="2:6" ht="15.75" customHeight="1" x14ac:dyDescent="0.25">
      <c r="B44" s="39" t="s">
        <v>311</v>
      </c>
      <c r="C44" s="230">
        <f>C43*C13</f>
        <v>65466.514285714307</v>
      </c>
      <c r="E44" s="8"/>
      <c r="F44" s="1"/>
    </row>
    <row r="45" spans="2:6" ht="15.75" customHeight="1" x14ac:dyDescent="0.25">
      <c r="B45" s="15"/>
      <c r="C45" s="91"/>
      <c r="F45" s="1"/>
    </row>
    <row r="46" spans="2:6" ht="15.75" customHeight="1" x14ac:dyDescent="0.3">
      <c r="B46" s="70" t="s">
        <v>58</v>
      </c>
      <c r="C46" s="80" t="s">
        <v>289</v>
      </c>
      <c r="D46" s="80" t="s">
        <v>290</v>
      </c>
      <c r="E46" s="3" t="s">
        <v>24</v>
      </c>
      <c r="F46" s="1"/>
    </row>
    <row r="47" spans="2:6" ht="15.75" customHeight="1" x14ac:dyDescent="0.25">
      <c r="B47" s="33" t="s">
        <v>132</v>
      </c>
      <c r="C47" s="168">
        <f>C7*C8*60/1000/45</f>
        <v>4.2666666666666666</v>
      </c>
      <c r="D47" s="168">
        <f>D7*D8*60/1000/45</f>
        <v>2.6666666666666665</v>
      </c>
      <c r="E47" s="75" t="s">
        <v>250</v>
      </c>
      <c r="F47" s="1"/>
    </row>
    <row r="48" spans="2:6" ht="15.75" customHeight="1" x14ac:dyDescent="0.25">
      <c r="B48" s="43"/>
      <c r="C48" s="82"/>
      <c r="D48" s="82"/>
      <c r="E48" s="74"/>
      <c r="F48" s="1"/>
    </row>
    <row r="49" spans="2:6" ht="45.75" customHeight="1" x14ac:dyDescent="0.25">
      <c r="B49" s="210" t="s">
        <v>286</v>
      </c>
      <c r="F49" s="1"/>
    </row>
    <row r="50" spans="2:6" x14ac:dyDescent="0.25">
      <c r="B50" s="73"/>
      <c r="F50" s="1"/>
    </row>
    <row r="51" spans="2:6" ht="15.75" customHeight="1" x14ac:dyDescent="0.25">
      <c r="B51" s="35" t="s">
        <v>213</v>
      </c>
      <c r="C51" s="228">
        <f>C47-D47</f>
        <v>1.6</v>
      </c>
      <c r="F51" s="1"/>
    </row>
    <row r="52" spans="2:6" ht="15.75" customHeight="1" x14ac:dyDescent="0.25">
      <c r="B52" s="35" t="s">
        <v>251</v>
      </c>
      <c r="C52" s="228">
        <f>C51*C13</f>
        <v>67392</v>
      </c>
      <c r="D52" s="169" t="s">
        <v>252</v>
      </c>
      <c r="F52" s="1"/>
    </row>
    <row r="53" spans="2:6" ht="15.75" customHeight="1" x14ac:dyDescent="0.25">
      <c r="C53" s="93"/>
      <c r="F53" s="1"/>
    </row>
    <row r="54" spans="2:6" ht="15.75" customHeight="1" x14ac:dyDescent="0.3">
      <c r="B54" s="70" t="s">
        <v>76</v>
      </c>
      <c r="C54" s="80" t="s">
        <v>289</v>
      </c>
      <c r="D54" s="80" t="s">
        <v>290</v>
      </c>
      <c r="E54" s="3" t="s">
        <v>24</v>
      </c>
      <c r="F54" s="1"/>
    </row>
    <row r="55" spans="2:6" ht="15.75" customHeight="1" x14ac:dyDescent="0.25">
      <c r="B55" s="33" t="s">
        <v>28</v>
      </c>
      <c r="C55" s="94"/>
      <c r="D55" s="95"/>
      <c r="E55" s="29" t="s">
        <v>208</v>
      </c>
      <c r="F55" s="1"/>
    </row>
    <row r="56" spans="2:6" ht="15.75" customHeight="1" x14ac:dyDescent="0.25">
      <c r="B56" s="33" t="s">
        <v>29</v>
      </c>
      <c r="C56" s="94"/>
      <c r="D56" s="95"/>
      <c r="E56" s="29" t="s">
        <v>27</v>
      </c>
      <c r="F56" s="1"/>
    </row>
    <row r="57" spans="2:6" ht="15.75" customHeight="1" x14ac:dyDescent="0.25">
      <c r="B57" s="33" t="s">
        <v>214</v>
      </c>
      <c r="C57" s="94">
        <v>245</v>
      </c>
      <c r="D57" s="95">
        <v>245</v>
      </c>
      <c r="E57" s="29" t="s">
        <v>30</v>
      </c>
      <c r="F57" s="1"/>
    </row>
    <row r="58" spans="2:6" ht="15.75" customHeight="1" x14ac:dyDescent="0.25">
      <c r="B58" s="15"/>
      <c r="C58" s="91"/>
      <c r="F58" s="1"/>
    </row>
    <row r="59" spans="2:6" ht="15.75" customHeight="1" x14ac:dyDescent="0.3">
      <c r="B59" s="21" t="s">
        <v>77</v>
      </c>
      <c r="C59" s="96"/>
      <c r="D59" s="97"/>
      <c r="E59" s="22"/>
      <c r="F59" s="1"/>
    </row>
    <row r="60" spans="2:6" ht="15.75" customHeight="1" x14ac:dyDescent="0.25"/>
    <row r="61" spans="2:6" ht="15.75" customHeight="1" x14ac:dyDescent="0.25">
      <c r="B61" s="19" t="s">
        <v>291</v>
      </c>
      <c r="C61" s="80" t="s">
        <v>289</v>
      </c>
      <c r="D61" s="80" t="s">
        <v>290</v>
      </c>
      <c r="E61" s="3"/>
      <c r="F61" s="1"/>
    </row>
    <row r="62" spans="2:6" ht="15.75" customHeight="1" x14ac:dyDescent="0.25">
      <c r="B62" s="33" t="s">
        <v>292</v>
      </c>
      <c r="C62" s="86">
        <f>SUM(C63:C66)</f>
        <v>0.92252441528106111</v>
      </c>
      <c r="D62" s="86">
        <f>SUM(D63:D66)</f>
        <v>0.57658606205066321</v>
      </c>
    </row>
    <row r="63" spans="2:6" ht="15.75" customHeight="1" x14ac:dyDescent="0.25">
      <c r="B63" s="41" t="s">
        <v>293</v>
      </c>
      <c r="C63" s="98">
        <f>C21/1000*$D$102/1000</f>
        <v>8.0879177142857139E-3</v>
      </c>
      <c r="D63" s="98">
        <f>D21/1000*$D$102/1000</f>
        <v>5.0549485714285703E-3</v>
      </c>
    </row>
    <row r="64" spans="2:6" ht="13.5" customHeight="1" x14ac:dyDescent="0.25">
      <c r="B64" s="41" t="s">
        <v>294</v>
      </c>
      <c r="C64" s="87">
        <f>C39*$C$92/1000</f>
        <v>0.30588342857142864</v>
      </c>
      <c r="D64" s="87">
        <f>D39*$C$92/1000</f>
        <v>0.19117714285714285</v>
      </c>
    </row>
    <row r="65" spans="2:6" ht="15.75" customHeight="1" x14ac:dyDescent="0.25">
      <c r="B65" s="41" t="s">
        <v>295</v>
      </c>
      <c r="C65" s="115">
        <f>C29/1000*$D$104/1000</f>
        <v>1.4166085714285715E-3</v>
      </c>
      <c r="D65" s="115">
        <f>D29/1000*$D$104/1000</f>
        <v>8.9368285714285726E-4</v>
      </c>
    </row>
    <row r="66" spans="2:6" ht="15.75" customHeight="1" x14ac:dyDescent="0.25">
      <c r="B66" s="41" t="s">
        <v>296</v>
      </c>
      <c r="C66" s="87">
        <f>C47*$C$113</f>
        <v>0.60713646042391822</v>
      </c>
      <c r="D66" s="87">
        <f>D47*$C$113</f>
        <v>0.37946028776494889</v>
      </c>
      <c r="E66" s="79"/>
    </row>
    <row r="67" spans="2:6" ht="15.75" customHeight="1" x14ac:dyDescent="0.25">
      <c r="B67" s="1"/>
      <c r="C67" s="91"/>
      <c r="F67" s="1"/>
    </row>
    <row r="68" spans="2:6" x14ac:dyDescent="0.25">
      <c r="B68" s="39" t="s">
        <v>298</v>
      </c>
      <c r="C68" s="116">
        <f>C62-D62</f>
        <v>0.3459383532303979</v>
      </c>
      <c r="F68" s="1"/>
    </row>
    <row r="69" spans="2:6" x14ac:dyDescent="0.25">
      <c r="B69" s="39" t="s">
        <v>57</v>
      </c>
      <c r="C69" s="116">
        <f>C68/1000/3.26*15021</f>
        <v>1.5939693263416586</v>
      </c>
      <c r="F69" s="1"/>
    </row>
    <row r="70" spans="2:6" ht="15.75" customHeight="1" x14ac:dyDescent="0.25">
      <c r="B70" s="1"/>
      <c r="C70" s="91"/>
    </row>
    <row r="71" spans="2:6" s="13" customFormat="1" ht="15.75" customHeight="1" x14ac:dyDescent="0.25">
      <c r="B71" s="37" t="s">
        <v>297</v>
      </c>
      <c r="C71" s="80" t="s">
        <v>289</v>
      </c>
      <c r="D71" s="80" t="s">
        <v>290</v>
      </c>
      <c r="E71"/>
      <c r="F71"/>
    </row>
    <row r="72" spans="2:6" s="13" customFormat="1" ht="15.75" customHeight="1" x14ac:dyDescent="0.25">
      <c r="B72" s="28" t="s">
        <v>299</v>
      </c>
      <c r="C72" s="187">
        <f>SUM(C73:C76)</f>
        <v>38856.728371638295</v>
      </c>
      <c r="D72" s="187">
        <f>SUM(D73:D76)</f>
        <v>24285.804933573934</v>
      </c>
      <c r="E72"/>
      <c r="F72"/>
    </row>
    <row r="73" spans="2:6" ht="15.75" customHeight="1" x14ac:dyDescent="0.25">
      <c r="B73" s="41" t="s">
        <v>293</v>
      </c>
      <c r="C73" s="187">
        <f>C63*$C$13</f>
        <v>340.66309412571428</v>
      </c>
      <c r="D73" s="187">
        <f>D63*$D$13</f>
        <v>212.91443382857139</v>
      </c>
    </row>
    <row r="74" spans="2:6" ht="15.75" customHeight="1" x14ac:dyDescent="0.25">
      <c r="B74" s="41" t="s">
        <v>294</v>
      </c>
      <c r="C74" s="187">
        <f t="shared" ref="C74:C76" si="0">C64*$C$13</f>
        <v>12883.810011428573</v>
      </c>
      <c r="D74" s="187">
        <f t="shared" ref="D74:D76" si="1">D64*$D$13</f>
        <v>8052.3812571428571</v>
      </c>
      <c r="F74" s="1"/>
    </row>
    <row r="75" spans="2:6" ht="15.75" customHeight="1" x14ac:dyDescent="0.25">
      <c r="B75" s="41" t="s">
        <v>295</v>
      </c>
      <c r="C75" s="187">
        <f t="shared" si="0"/>
        <v>59.667553028571433</v>
      </c>
      <c r="D75" s="187">
        <f t="shared" si="1"/>
        <v>37.641921942857145</v>
      </c>
      <c r="F75" s="1"/>
    </row>
    <row r="76" spans="2:6" ht="15.75" customHeight="1" x14ac:dyDescent="0.25">
      <c r="B76" s="41" t="s">
        <v>300</v>
      </c>
      <c r="C76" s="187">
        <f t="shared" si="0"/>
        <v>25572.587713055436</v>
      </c>
      <c r="D76" s="187">
        <f t="shared" si="1"/>
        <v>15982.867320659647</v>
      </c>
      <c r="F76" s="1"/>
    </row>
    <row r="77" spans="2:6" ht="15.75" customHeight="1" x14ac:dyDescent="0.25">
      <c r="B77" s="42"/>
      <c r="C77" s="89"/>
      <c r="D77" s="89"/>
      <c r="F77" s="1"/>
    </row>
    <row r="78" spans="2:6" ht="15.75" customHeight="1" x14ac:dyDescent="0.25">
      <c r="B78" s="39" t="s">
        <v>209</v>
      </c>
      <c r="C78" s="116">
        <f>(C72-D72)/1000</f>
        <v>14.57092343806436</v>
      </c>
      <c r="D78" s="89"/>
      <c r="F78" s="1"/>
    </row>
    <row r="79" spans="2:6" ht="15.75" customHeight="1" x14ac:dyDescent="0.25">
      <c r="B79" s="39" t="s">
        <v>57</v>
      </c>
      <c r="C79" s="116">
        <f>C78/1000/3.26*15021</f>
        <v>67.137988025510666</v>
      </c>
      <c r="D79" s="89"/>
      <c r="F79" s="1"/>
    </row>
    <row r="80" spans="2:6" ht="15.75" customHeight="1" x14ac:dyDescent="0.25">
      <c r="B80" s="1"/>
      <c r="C80" s="91"/>
      <c r="F80" s="1"/>
    </row>
    <row r="81" spans="2:6" ht="15.75" customHeight="1" x14ac:dyDescent="0.25">
      <c r="B81" s="3" t="s">
        <v>78</v>
      </c>
      <c r="C81" s="80" t="s">
        <v>289</v>
      </c>
      <c r="D81" s="80" t="s">
        <v>290</v>
      </c>
      <c r="E81" s="152" t="s">
        <v>271</v>
      </c>
      <c r="F81" s="1"/>
    </row>
    <row r="82" spans="2:6" ht="15.75" customHeight="1" x14ac:dyDescent="0.25">
      <c r="B82" s="28" t="s">
        <v>216</v>
      </c>
      <c r="C82" s="185">
        <f>SUM(C83:C85)</f>
        <v>220147.19999999998</v>
      </c>
      <c r="D82" s="185">
        <f>SUM(D83:D85)</f>
        <v>137592</v>
      </c>
      <c r="E82" s="186">
        <f>C82-D82</f>
        <v>82555.199999999983</v>
      </c>
      <c r="F82" s="1"/>
    </row>
    <row r="83" spans="2:6" ht="15.75" customHeight="1" x14ac:dyDescent="0.25">
      <c r="B83" s="28" t="s">
        <v>79</v>
      </c>
      <c r="C83" s="187">
        <f>C55*C21*C13</f>
        <v>0</v>
      </c>
      <c r="D83" s="187">
        <f>D55*D21*D13</f>
        <v>0</v>
      </c>
      <c r="E83" s="186">
        <f t="shared" ref="E83:E85" si="2">C83-D83</f>
        <v>0</v>
      </c>
      <c r="F83" s="1"/>
    </row>
    <row r="84" spans="2:6" ht="15.75" customHeight="1" x14ac:dyDescent="0.25">
      <c r="B84" s="28" t="s">
        <v>80</v>
      </c>
      <c r="C84" s="187">
        <f>C56*C39*C13</f>
        <v>0</v>
      </c>
      <c r="D84" s="187">
        <f>D56*D39*D13</f>
        <v>0</v>
      </c>
      <c r="E84" s="186">
        <f t="shared" si="2"/>
        <v>0</v>
      </c>
      <c r="F84" s="1"/>
    </row>
    <row r="85" spans="2:6" ht="15.75" customHeight="1" x14ac:dyDescent="0.25">
      <c r="B85" s="28" t="s">
        <v>81</v>
      </c>
      <c r="C85" s="187">
        <f>C47*C13/200*C57</f>
        <v>220147.19999999998</v>
      </c>
      <c r="D85" s="187">
        <f>D47*D13/200*D57</f>
        <v>137592</v>
      </c>
      <c r="E85" s="186">
        <f t="shared" si="2"/>
        <v>82555.199999999983</v>
      </c>
      <c r="F85" s="1"/>
    </row>
    <row r="86" spans="2:6" ht="15.75" customHeight="1" x14ac:dyDescent="0.25">
      <c r="B86" s="12"/>
      <c r="C86" s="89"/>
      <c r="D86" s="92"/>
      <c r="F86" s="1"/>
    </row>
    <row r="87" spans="2:6" ht="15.75" customHeight="1" x14ac:dyDescent="0.25">
      <c r="B87" s="37" t="s">
        <v>215</v>
      </c>
      <c r="C87" s="89"/>
      <c r="D87" s="92"/>
      <c r="F87" s="1"/>
    </row>
    <row r="88" spans="2:6" ht="15.75" customHeight="1" x14ac:dyDescent="0.25">
      <c r="B88" s="1"/>
      <c r="C88" s="91"/>
      <c r="F88" s="1"/>
    </row>
    <row r="89" spans="2:6" ht="15.75" customHeight="1" x14ac:dyDescent="0.3">
      <c r="B89" s="24" t="s">
        <v>55</v>
      </c>
      <c r="C89" s="100"/>
      <c r="D89" s="101"/>
      <c r="E89" s="25"/>
      <c r="F89" s="1"/>
    </row>
    <row r="90" spans="2:6" ht="15.75" customHeight="1" x14ac:dyDescent="0.25"/>
    <row r="91" spans="2:6" s="16" customFormat="1" ht="15.75" x14ac:dyDescent="0.25">
      <c r="B91" s="3" t="s">
        <v>0</v>
      </c>
      <c r="C91" s="93" t="s">
        <v>43</v>
      </c>
      <c r="D91" s="93" t="s">
        <v>44</v>
      </c>
      <c r="E91" s="4" t="s">
        <v>2</v>
      </c>
      <c r="F91" s="17"/>
    </row>
    <row r="92" spans="2:6" x14ac:dyDescent="0.25">
      <c r="B92" s="2" t="s">
        <v>1</v>
      </c>
      <c r="C92" s="102">
        <v>73.8</v>
      </c>
      <c r="D92" s="103" t="s">
        <v>4</v>
      </c>
      <c r="E92" s="6" t="s">
        <v>3</v>
      </c>
      <c r="F92" s="1"/>
    </row>
    <row r="93" spans="2:6" x14ac:dyDescent="0.25">
      <c r="B93" s="1"/>
      <c r="F93" s="1"/>
    </row>
    <row r="94" spans="2:6" ht="18.75" x14ac:dyDescent="0.3">
      <c r="B94" s="7" t="s">
        <v>5</v>
      </c>
      <c r="C94" s="104"/>
      <c r="F94" s="1"/>
    </row>
    <row r="95" spans="2:6" x14ac:dyDescent="0.25">
      <c r="B95" s="5" t="s">
        <v>6</v>
      </c>
      <c r="C95" s="105" t="s">
        <v>7</v>
      </c>
      <c r="D95" s="106" t="s">
        <v>8</v>
      </c>
      <c r="E95" s="31" t="s">
        <v>9</v>
      </c>
    </row>
    <row r="96" spans="2:6" x14ac:dyDescent="0.25">
      <c r="B96" s="26" t="s">
        <v>10</v>
      </c>
      <c r="C96" s="107">
        <v>0.57999999999999996</v>
      </c>
      <c r="D96" s="86">
        <v>0.97</v>
      </c>
      <c r="E96" s="32">
        <v>1</v>
      </c>
    </row>
    <row r="97" spans="2:7" x14ac:dyDescent="0.25">
      <c r="B97" s="28" t="s">
        <v>11</v>
      </c>
      <c r="C97" s="108">
        <v>0.91</v>
      </c>
      <c r="D97" s="86" t="s">
        <v>12</v>
      </c>
      <c r="E97" s="32">
        <v>0</v>
      </c>
    </row>
    <row r="98" spans="2:7" s="13" customFormat="1" x14ac:dyDescent="0.25">
      <c r="B98" s="28" t="s">
        <v>13</v>
      </c>
      <c r="C98" s="108">
        <v>0.64</v>
      </c>
      <c r="D98" s="86">
        <v>0.01</v>
      </c>
      <c r="E98" s="32">
        <v>0</v>
      </c>
      <c r="F98"/>
    </row>
    <row r="99" spans="2:7" s="13" customFormat="1" x14ac:dyDescent="0.25">
      <c r="B99" s="12"/>
      <c r="C99" s="109"/>
      <c r="D99" s="109"/>
      <c r="F99" s="30"/>
      <c r="G99" s="12"/>
    </row>
    <row r="100" spans="2:7" x14ac:dyDescent="0.25">
      <c r="C100" s="80" t="s">
        <v>14</v>
      </c>
      <c r="D100" s="93" t="s">
        <v>15</v>
      </c>
      <c r="E100" s="1"/>
      <c r="F100" s="1"/>
    </row>
    <row r="101" spans="2:7" x14ac:dyDescent="0.25">
      <c r="B101" s="5" t="s">
        <v>16</v>
      </c>
      <c r="C101" s="9">
        <f>SUMPRODUCT($C$96:$C$98,D96:D98)/SUM(D96:D98)</f>
        <v>0.58061224489795915</v>
      </c>
      <c r="D101" s="9">
        <f>SUMPRODUCT($C$96:$C$98,E96:E98)/SUM(E96:E98)</f>
        <v>0.57999999999999996</v>
      </c>
      <c r="E101" s="1"/>
      <c r="F101" s="1"/>
    </row>
    <row r="102" spans="2:7" x14ac:dyDescent="0.25">
      <c r="B102" s="10" t="s">
        <v>17</v>
      </c>
      <c r="C102" s="110">
        <f>$C$92*C101</f>
        <v>42.849183673469383</v>
      </c>
      <c r="D102" s="110">
        <f>$C$92*D101</f>
        <v>42.803999999999995</v>
      </c>
      <c r="E102" s="1"/>
      <c r="F102" s="1"/>
    </row>
    <row r="103" spans="2:7" x14ac:dyDescent="0.25">
      <c r="B103" s="5" t="s">
        <v>18</v>
      </c>
      <c r="C103" s="9">
        <v>0.1</v>
      </c>
      <c r="D103" s="9">
        <v>0.1</v>
      </c>
      <c r="E103" s="1"/>
      <c r="F103" s="1"/>
    </row>
    <row r="104" spans="2:7" x14ac:dyDescent="0.25">
      <c r="B104" s="10" t="s">
        <v>19</v>
      </c>
      <c r="C104" s="110">
        <f>$C$92*C103</f>
        <v>7.38</v>
      </c>
      <c r="D104" s="110">
        <f>$C$92*D103</f>
        <v>7.38</v>
      </c>
      <c r="E104" s="1"/>
      <c r="F104" s="1"/>
    </row>
    <row r="105" spans="2:7" s="13" customFormat="1" x14ac:dyDescent="0.25">
      <c r="B105" s="27"/>
      <c r="C105" s="109"/>
      <c r="D105" s="109"/>
      <c r="E105" s="12"/>
      <c r="F105" s="12"/>
    </row>
    <row r="106" spans="2:7" ht="15" customHeight="1" x14ac:dyDescent="0.25">
      <c r="B106" s="211" t="s">
        <v>22</v>
      </c>
    </row>
    <row r="107" spans="2:7" ht="15" customHeight="1" x14ac:dyDescent="0.25">
      <c r="B107" s="212" t="s">
        <v>275</v>
      </c>
    </row>
    <row r="108" spans="2:7" ht="15" customHeight="1" x14ac:dyDescent="0.25">
      <c r="B108" s="27" t="s">
        <v>56</v>
      </c>
    </row>
    <row r="109" spans="2:7" ht="15" customHeight="1" x14ac:dyDescent="0.25">
      <c r="B109" s="38" t="s">
        <v>20</v>
      </c>
    </row>
    <row r="110" spans="2:7" ht="15" customHeight="1" x14ac:dyDescent="0.25">
      <c r="B110" s="38" t="s">
        <v>21</v>
      </c>
    </row>
    <row r="111" spans="2:7" x14ac:dyDescent="0.25">
      <c r="B111" s="1"/>
      <c r="C111" s="91"/>
      <c r="F111" s="1"/>
    </row>
    <row r="112" spans="2:7" x14ac:dyDescent="0.25">
      <c r="B112" s="3" t="s">
        <v>287</v>
      </c>
      <c r="C112" s="91"/>
      <c r="F112" s="1"/>
    </row>
    <row r="113" spans="2:15" x14ac:dyDescent="0.25">
      <c r="B113" s="28" t="s">
        <v>170</v>
      </c>
      <c r="C113" s="76">
        <f>D143</f>
        <v>0.14229760791185583</v>
      </c>
      <c r="D113" s="111" t="s">
        <v>171</v>
      </c>
      <c r="E113" s="28" t="s">
        <v>167</v>
      </c>
    </row>
    <row r="114" spans="2:15" ht="15.75" customHeight="1" x14ac:dyDescent="0.25"/>
    <row r="115" spans="2:15" ht="15.75" customHeight="1" x14ac:dyDescent="0.25"/>
    <row r="116" spans="2:15" ht="15.75" customHeight="1" x14ac:dyDescent="0.25">
      <c r="B116" s="71" t="s">
        <v>133</v>
      </c>
      <c r="C116" s="106" t="s">
        <v>70</v>
      </c>
      <c r="D116" s="112" t="s">
        <v>134</v>
      </c>
      <c r="E116" s="71" t="s">
        <v>135</v>
      </c>
      <c r="F116" s="31" t="s">
        <v>136</v>
      </c>
      <c r="G116" s="71" t="s">
        <v>137</v>
      </c>
      <c r="H116" s="71" t="s">
        <v>136</v>
      </c>
      <c r="I116" s="71" t="s">
        <v>138</v>
      </c>
    </row>
    <row r="117" spans="2:15" ht="15.75" customHeight="1" x14ac:dyDescent="0.25">
      <c r="B117" s="40" t="s">
        <v>139</v>
      </c>
      <c r="C117" s="86" t="s">
        <v>140</v>
      </c>
      <c r="D117" s="113">
        <v>0.13</v>
      </c>
      <c r="E117" s="72">
        <v>0.06</v>
      </c>
      <c r="F117" s="28" t="s">
        <v>141</v>
      </c>
      <c r="G117" s="40">
        <v>0.2</v>
      </c>
      <c r="H117" s="40" t="s">
        <v>142</v>
      </c>
      <c r="I117" s="40" t="s">
        <v>91</v>
      </c>
    </row>
    <row r="118" spans="2:15" ht="15.75" customHeight="1" x14ac:dyDescent="0.25">
      <c r="B118" s="40" t="s">
        <v>143</v>
      </c>
      <c r="C118" s="76" t="s">
        <v>140</v>
      </c>
      <c r="D118" s="113">
        <v>0.14333333333333334</v>
      </c>
      <c r="E118" s="72">
        <v>6.6666666666666666E-2</v>
      </c>
      <c r="F118" s="28" t="s">
        <v>144</v>
      </c>
      <c r="G118" s="40">
        <v>0.22</v>
      </c>
      <c r="H118" s="40" t="s">
        <v>141</v>
      </c>
      <c r="I118" s="40"/>
    </row>
    <row r="119" spans="2:15" ht="15.75" customHeight="1" x14ac:dyDescent="0.25">
      <c r="B119" s="40" t="s">
        <v>145</v>
      </c>
      <c r="C119" s="76" t="s">
        <v>140</v>
      </c>
      <c r="D119" s="113">
        <v>1.21</v>
      </c>
      <c r="E119" s="72">
        <v>0.89</v>
      </c>
      <c r="F119" s="28" t="s">
        <v>142</v>
      </c>
      <c r="G119" s="40">
        <v>1.53</v>
      </c>
      <c r="H119" s="40" t="s">
        <v>141</v>
      </c>
      <c r="I119" s="40" t="s">
        <v>146</v>
      </c>
    </row>
    <row r="120" spans="2:15" ht="15.75" customHeight="1" x14ac:dyDescent="0.25">
      <c r="B120" s="28" t="s">
        <v>147</v>
      </c>
      <c r="C120" s="76" t="s">
        <v>140</v>
      </c>
      <c r="D120" s="113">
        <v>6.6666666666666666E-2</v>
      </c>
      <c r="E120" s="72">
        <v>6.6666666666666666E-2</v>
      </c>
      <c r="F120" s="28" t="s">
        <v>144</v>
      </c>
      <c r="G120" s="40" t="s">
        <v>91</v>
      </c>
      <c r="H120" s="40" t="s">
        <v>91</v>
      </c>
      <c r="I120" s="40"/>
    </row>
    <row r="121" spans="2:15" ht="15.75" customHeight="1" x14ac:dyDescent="0.25">
      <c r="B121" s="28" t="s">
        <v>148</v>
      </c>
      <c r="C121" s="76" t="s">
        <v>140</v>
      </c>
      <c r="D121" s="113">
        <v>1.155</v>
      </c>
      <c r="E121" s="72">
        <v>0.61</v>
      </c>
      <c r="F121" s="28" t="s">
        <v>144</v>
      </c>
      <c r="G121" s="40">
        <v>1.7</v>
      </c>
      <c r="H121" s="40" t="s">
        <v>141</v>
      </c>
      <c r="I121" s="40"/>
    </row>
    <row r="122" spans="2:15" ht="15.75" customHeight="1" x14ac:dyDescent="0.25">
      <c r="B122" s="28" t="s">
        <v>149</v>
      </c>
      <c r="C122" s="76" t="s">
        <v>140</v>
      </c>
      <c r="D122" s="113">
        <v>1.4700000000000002</v>
      </c>
      <c r="E122" s="72">
        <v>1.1000000000000001</v>
      </c>
      <c r="F122" s="28" t="s">
        <v>150</v>
      </c>
      <c r="G122" s="40">
        <v>1.84</v>
      </c>
      <c r="H122" s="40" t="s">
        <v>141</v>
      </c>
      <c r="I122" s="40" t="s">
        <v>151</v>
      </c>
    </row>
    <row r="123" spans="2:15" ht="45" x14ac:dyDescent="0.25">
      <c r="B123" s="28" t="s">
        <v>152</v>
      </c>
      <c r="C123" s="76" t="s">
        <v>153</v>
      </c>
      <c r="D123" s="113">
        <v>190.625</v>
      </c>
      <c r="E123" s="72">
        <v>320</v>
      </c>
      <c r="F123" s="28" t="s">
        <v>154</v>
      </c>
      <c r="G123" s="40">
        <v>61.25</v>
      </c>
      <c r="H123" s="40" t="s">
        <v>155</v>
      </c>
      <c r="I123" s="213" t="s">
        <v>156</v>
      </c>
    </row>
    <row r="124" spans="2:15" ht="15.75" customHeight="1" x14ac:dyDescent="0.25">
      <c r="B124" s="28" t="s">
        <v>157</v>
      </c>
      <c r="C124" s="76" t="s">
        <v>153</v>
      </c>
      <c r="D124" s="113">
        <v>170.88</v>
      </c>
      <c r="E124" s="72">
        <v>170.88</v>
      </c>
      <c r="F124" s="28" t="s">
        <v>158</v>
      </c>
      <c r="G124" s="40" t="s">
        <v>91</v>
      </c>
      <c r="H124" s="40" t="s">
        <v>91</v>
      </c>
      <c r="I124" s="40"/>
    </row>
    <row r="125" spans="2:15" ht="15.75" customHeight="1" x14ac:dyDescent="0.25">
      <c r="B125" s="28" t="s">
        <v>159</v>
      </c>
      <c r="C125" s="76" t="s">
        <v>160</v>
      </c>
      <c r="D125" s="113">
        <v>540</v>
      </c>
      <c r="E125" s="72">
        <v>540</v>
      </c>
      <c r="F125" s="28" t="s">
        <v>161</v>
      </c>
      <c r="G125" s="40" t="s">
        <v>91</v>
      </c>
      <c r="H125" s="40" t="s">
        <v>91</v>
      </c>
      <c r="I125" s="40" t="s">
        <v>91</v>
      </c>
    </row>
    <row r="127" spans="2:15" ht="15.75" customHeight="1" x14ac:dyDescent="0.25">
      <c r="B127" s="31" t="s">
        <v>172</v>
      </c>
      <c r="C127" s="231" t="s">
        <v>163</v>
      </c>
      <c r="D127" s="232"/>
      <c r="E127" s="233"/>
      <c r="F127" s="234" t="s">
        <v>164</v>
      </c>
      <c r="G127" s="235"/>
      <c r="H127" s="236"/>
      <c r="I127" s="237" t="s">
        <v>165</v>
      </c>
      <c r="J127" s="238"/>
      <c r="K127" s="239"/>
      <c r="L127" s="237" t="s">
        <v>166</v>
      </c>
      <c r="M127" s="238"/>
      <c r="N127" s="239"/>
      <c r="O127" s="71" t="s">
        <v>173</v>
      </c>
    </row>
    <row r="128" spans="2:15" ht="15.75" customHeight="1" x14ac:dyDescent="0.25">
      <c r="B128" s="28" t="s">
        <v>174</v>
      </c>
      <c r="C128" s="76" t="s">
        <v>175</v>
      </c>
      <c r="D128" s="99" t="s">
        <v>176</v>
      </c>
      <c r="E128" s="40" t="s">
        <v>177</v>
      </c>
      <c r="F128" s="28" t="s">
        <v>175</v>
      </c>
      <c r="G128" s="40" t="s">
        <v>176</v>
      </c>
      <c r="H128" s="40" t="s">
        <v>177</v>
      </c>
      <c r="I128" s="40" t="s">
        <v>175</v>
      </c>
      <c r="J128" s="40" t="s">
        <v>176</v>
      </c>
      <c r="K128" s="40" t="s">
        <v>177</v>
      </c>
      <c r="L128" s="40" t="s">
        <v>175</v>
      </c>
      <c r="M128" s="40" t="s">
        <v>176</v>
      </c>
      <c r="N128" s="40" t="s">
        <v>177</v>
      </c>
      <c r="O128" s="40"/>
    </row>
    <row r="129" spans="2:15" ht="15.75" customHeight="1" x14ac:dyDescent="0.25">
      <c r="B129" s="28" t="s">
        <v>178</v>
      </c>
      <c r="C129" s="76">
        <v>263</v>
      </c>
      <c r="D129" s="99">
        <v>1183.5</v>
      </c>
      <c r="E129" s="40">
        <v>52600</v>
      </c>
      <c r="F129" s="28">
        <v>263</v>
      </c>
      <c r="G129" s="40">
        <v>1183.5</v>
      </c>
      <c r="H129" s="40">
        <v>52600</v>
      </c>
      <c r="I129" s="40">
        <v>263</v>
      </c>
      <c r="J129" s="40">
        <v>1183.5</v>
      </c>
      <c r="K129" s="40">
        <v>52600</v>
      </c>
      <c r="L129" s="40">
        <v>263</v>
      </c>
      <c r="M129" s="40">
        <v>1183.5</v>
      </c>
      <c r="N129" s="40">
        <v>52600</v>
      </c>
      <c r="O129" s="40" t="s">
        <v>179</v>
      </c>
    </row>
    <row r="130" spans="2:15" ht="15.75" customHeight="1" x14ac:dyDescent="0.25">
      <c r="B130" s="28" t="s">
        <v>276</v>
      </c>
      <c r="C130" s="76">
        <v>10.1</v>
      </c>
      <c r="D130" s="99">
        <v>45.449999999999996</v>
      </c>
      <c r="E130" s="40">
        <v>2020</v>
      </c>
      <c r="F130" s="28">
        <v>6.71</v>
      </c>
      <c r="G130" s="40">
        <v>30.195</v>
      </c>
      <c r="H130" s="40">
        <v>1342</v>
      </c>
      <c r="I130" s="40">
        <v>6.7</v>
      </c>
      <c r="J130" s="40">
        <v>30.150000000000002</v>
      </c>
      <c r="K130" s="40">
        <v>1340</v>
      </c>
      <c r="L130" s="40">
        <v>10.06</v>
      </c>
      <c r="M130" s="40">
        <v>45.27</v>
      </c>
      <c r="N130" s="40">
        <v>2012</v>
      </c>
      <c r="O130" s="40"/>
    </row>
    <row r="131" spans="2:15" ht="15.75" customHeight="1" x14ac:dyDescent="0.25">
      <c r="B131" s="28" t="s">
        <v>180</v>
      </c>
      <c r="C131" s="76">
        <v>8.27</v>
      </c>
      <c r="D131" s="99">
        <v>37.214999999999996</v>
      </c>
      <c r="E131" s="40">
        <v>1654</v>
      </c>
      <c r="F131" s="28">
        <v>8.27</v>
      </c>
      <c r="G131" s="40">
        <v>37.214999999999996</v>
      </c>
      <c r="H131" s="40">
        <v>1654</v>
      </c>
      <c r="I131" s="40">
        <v>9.92</v>
      </c>
      <c r="J131" s="40">
        <v>44.64</v>
      </c>
      <c r="K131" s="40">
        <v>1984</v>
      </c>
      <c r="L131" s="40">
        <v>9.92</v>
      </c>
      <c r="M131" s="40">
        <v>44.64</v>
      </c>
      <c r="N131" s="40">
        <v>1984</v>
      </c>
      <c r="O131" s="40"/>
    </row>
    <row r="132" spans="2:15" ht="15.75" customHeight="1" x14ac:dyDescent="0.25">
      <c r="B132" s="28" t="s">
        <v>181</v>
      </c>
      <c r="C132" s="76">
        <v>4.57</v>
      </c>
      <c r="D132" s="99">
        <v>20.565000000000001</v>
      </c>
      <c r="E132" s="40">
        <v>914</v>
      </c>
      <c r="F132" s="28">
        <v>4.57</v>
      </c>
      <c r="G132" s="40">
        <v>20.565000000000001</v>
      </c>
      <c r="H132" s="40">
        <v>914</v>
      </c>
      <c r="I132" s="40">
        <v>4.57</v>
      </c>
      <c r="J132" s="40">
        <v>20.565000000000001</v>
      </c>
      <c r="K132" s="40">
        <v>914</v>
      </c>
      <c r="L132" s="40">
        <v>4.57</v>
      </c>
      <c r="M132" s="40">
        <v>20.565000000000001</v>
      </c>
      <c r="N132" s="40">
        <v>914</v>
      </c>
      <c r="O132" s="40"/>
    </row>
    <row r="133" spans="2:15" ht="15.75" customHeight="1" x14ac:dyDescent="0.25">
      <c r="B133" s="28" t="s">
        <v>182</v>
      </c>
      <c r="C133" s="76">
        <v>10.81</v>
      </c>
      <c r="D133" s="99">
        <v>48.645000000000003</v>
      </c>
      <c r="E133" s="40">
        <v>2162</v>
      </c>
      <c r="F133" s="28">
        <v>10.81</v>
      </c>
      <c r="G133" s="40">
        <v>48.645000000000003</v>
      </c>
      <c r="H133" s="40">
        <v>2162</v>
      </c>
      <c r="I133" s="40">
        <v>10.81</v>
      </c>
      <c r="J133" s="40">
        <v>48.645000000000003</v>
      </c>
      <c r="K133" s="40">
        <v>2162</v>
      </c>
      <c r="L133" s="40">
        <v>10.81</v>
      </c>
      <c r="M133" s="40">
        <v>48.645000000000003</v>
      </c>
      <c r="N133" s="40">
        <v>2162</v>
      </c>
      <c r="O133" s="40"/>
    </row>
    <row r="134" spans="2:15" ht="15.75" customHeight="1" x14ac:dyDescent="0.25">
      <c r="B134" s="28" t="s">
        <v>183</v>
      </c>
      <c r="C134" s="76">
        <v>74.25</v>
      </c>
      <c r="D134" s="99">
        <v>334.125</v>
      </c>
      <c r="E134" s="40">
        <v>14850</v>
      </c>
      <c r="F134" s="28">
        <v>49.5</v>
      </c>
      <c r="G134" s="40">
        <v>222.75</v>
      </c>
      <c r="H134" s="40">
        <v>9900</v>
      </c>
      <c r="I134" s="40">
        <v>49.5</v>
      </c>
      <c r="J134" s="40">
        <v>222.75</v>
      </c>
      <c r="K134" s="40">
        <v>9900</v>
      </c>
      <c r="L134" s="40">
        <v>49.49</v>
      </c>
      <c r="M134" s="40">
        <v>222.70500000000001</v>
      </c>
      <c r="N134" s="40">
        <v>9898</v>
      </c>
      <c r="O134" s="40"/>
    </row>
    <row r="135" spans="2:15" ht="21" customHeight="1" x14ac:dyDescent="0.25">
      <c r="B135" s="28" t="s">
        <v>188</v>
      </c>
      <c r="C135" s="76" t="s">
        <v>91</v>
      </c>
      <c r="D135" s="99">
        <v>7.6478092500000001E-3</v>
      </c>
      <c r="E135" s="40">
        <v>0.31785102064000004</v>
      </c>
      <c r="F135" s="28" t="s">
        <v>91</v>
      </c>
      <c r="G135" s="40">
        <v>7.90106925E-3</v>
      </c>
      <c r="H135" s="40">
        <v>0.32910702064000003</v>
      </c>
      <c r="I135" s="40" t="s">
        <v>91</v>
      </c>
      <c r="J135" s="40">
        <v>7.8863092499999992E-3</v>
      </c>
      <c r="K135" s="40">
        <v>0.32845102064000004</v>
      </c>
      <c r="L135" s="40" t="s">
        <v>91</v>
      </c>
      <c r="M135" s="40">
        <v>7.8561592499999996E-3</v>
      </c>
      <c r="N135" s="40">
        <v>0.32711102064000003</v>
      </c>
      <c r="O135" s="40" t="s">
        <v>184</v>
      </c>
    </row>
    <row r="136" spans="2:15" ht="15.75" customHeight="1" x14ac:dyDescent="0.25">
      <c r="B136" s="28" t="s">
        <v>185</v>
      </c>
      <c r="C136" s="76" t="s">
        <v>91</v>
      </c>
      <c r="D136" s="99">
        <v>3.823904625E-3</v>
      </c>
      <c r="E136" s="40">
        <v>0.15892551032000002</v>
      </c>
      <c r="F136" s="28" t="s">
        <v>91</v>
      </c>
      <c r="G136" s="40">
        <v>3.950534625E-3</v>
      </c>
      <c r="H136" s="40">
        <v>0.16455351032000001</v>
      </c>
      <c r="I136" s="40" t="s">
        <v>91</v>
      </c>
      <c r="J136" s="40">
        <v>3.9431546249999996E-3</v>
      </c>
      <c r="K136" s="40">
        <v>0.16422551032000002</v>
      </c>
      <c r="L136" s="40" t="s">
        <v>91</v>
      </c>
      <c r="M136" s="40">
        <v>3.9280796249999998E-3</v>
      </c>
      <c r="N136" s="40">
        <v>0.16355551032000001</v>
      </c>
      <c r="O136" s="40" t="s">
        <v>186</v>
      </c>
    </row>
    <row r="137" spans="2:15" ht="15.75" customHeight="1" x14ac:dyDescent="0.25">
      <c r="B137" s="28" t="s">
        <v>187</v>
      </c>
      <c r="C137" s="76">
        <v>1.6E-2</v>
      </c>
      <c r="D137" s="99">
        <v>7.2000000000000008E-2</v>
      </c>
      <c r="E137" s="40">
        <v>3.2</v>
      </c>
      <c r="F137" s="28"/>
      <c r="G137" s="40">
        <v>7.2000000000000008E-2</v>
      </c>
      <c r="H137" s="40">
        <v>3.2</v>
      </c>
      <c r="I137" s="40"/>
      <c r="J137" s="40">
        <v>7.2000000000000008E-2</v>
      </c>
      <c r="K137" s="40">
        <v>3.2</v>
      </c>
      <c r="L137" s="40"/>
      <c r="M137" s="40">
        <v>7.2000000000000008E-2</v>
      </c>
      <c r="N137" s="40">
        <v>3.2</v>
      </c>
      <c r="O137" s="40" t="s">
        <v>277</v>
      </c>
    </row>
    <row r="138" spans="2:15" ht="15.75" customHeight="1" x14ac:dyDescent="0.25">
      <c r="B138" s="1"/>
      <c r="C138" s="91"/>
      <c r="F138" s="1"/>
    </row>
    <row r="139" spans="2:15" ht="15.75" customHeight="1" x14ac:dyDescent="0.25">
      <c r="B139" s="71" t="s">
        <v>168</v>
      </c>
      <c r="C139" s="114" t="s">
        <v>162</v>
      </c>
      <c r="D139" s="112" t="s">
        <v>169</v>
      </c>
      <c r="F139" s="1"/>
    </row>
    <row r="140" spans="2:15" ht="15.75" customHeight="1" x14ac:dyDescent="0.25">
      <c r="B140" s="40" t="s">
        <v>163</v>
      </c>
      <c r="C140" s="99">
        <v>0.22</v>
      </c>
      <c r="D140" s="99">
        <v>0.17669125943568917</v>
      </c>
      <c r="F140" s="1"/>
    </row>
    <row r="141" spans="2:15" ht="15.75" customHeight="1" x14ac:dyDescent="0.25">
      <c r="B141" s="40" t="s">
        <v>164</v>
      </c>
      <c r="C141" s="99">
        <v>0.24</v>
      </c>
      <c r="D141" s="99">
        <v>0.13983839637388917</v>
      </c>
      <c r="F141" s="1"/>
    </row>
    <row r="142" spans="2:15" ht="15.75" customHeight="1" x14ac:dyDescent="0.25">
      <c r="B142" s="40" t="s">
        <v>165</v>
      </c>
      <c r="C142" s="99">
        <v>0.32</v>
      </c>
      <c r="D142" s="99">
        <v>0.14183255754735588</v>
      </c>
      <c r="F142" s="1"/>
    </row>
    <row r="143" spans="2:15" ht="15.75" customHeight="1" x14ac:dyDescent="0.25">
      <c r="B143" s="40" t="s">
        <v>166</v>
      </c>
      <c r="C143" s="99">
        <v>0.22</v>
      </c>
      <c r="D143" s="99">
        <v>0.14229760791185583</v>
      </c>
      <c r="F143" s="1"/>
    </row>
    <row r="144" spans="2:15" ht="15.75" customHeight="1" x14ac:dyDescent="0.25">
      <c r="F144" s="1"/>
    </row>
    <row r="145" spans="2:6" ht="40.5" customHeight="1" x14ac:dyDescent="0.25">
      <c r="B145" s="214" t="s">
        <v>288</v>
      </c>
      <c r="C145" s="91"/>
      <c r="F145" s="1"/>
    </row>
    <row r="146" spans="2:6" ht="15.75" customHeight="1" x14ac:dyDescent="0.25">
      <c r="B146" s="1"/>
      <c r="C146" s="91"/>
      <c r="F146" s="1"/>
    </row>
    <row r="147" spans="2:6" ht="15.75" customHeight="1" x14ac:dyDescent="0.25">
      <c r="B147" s="1"/>
      <c r="C147" s="91"/>
      <c r="F147" s="1"/>
    </row>
    <row r="148" spans="2:6" ht="15.75" customHeight="1" x14ac:dyDescent="0.25">
      <c r="B148" s="1"/>
      <c r="C148" s="91"/>
      <c r="F148" s="1"/>
    </row>
    <row r="149" spans="2:6" ht="15.75" customHeight="1" x14ac:dyDescent="0.25">
      <c r="B149" s="1"/>
      <c r="C149" s="91"/>
      <c r="F149" s="1"/>
    </row>
    <row r="150" spans="2:6" ht="15.75" customHeight="1" x14ac:dyDescent="0.25">
      <c r="B150" s="1"/>
      <c r="C150" s="91"/>
      <c r="F150" s="1"/>
    </row>
    <row r="151" spans="2:6" ht="15.75" customHeight="1" x14ac:dyDescent="0.25">
      <c r="B151" s="1"/>
      <c r="C151" s="91"/>
      <c r="F151" s="1"/>
    </row>
    <row r="152" spans="2:6" ht="15.75" customHeight="1" x14ac:dyDescent="0.25">
      <c r="B152" s="1"/>
      <c r="C152" s="91"/>
      <c r="F152" s="1"/>
    </row>
    <row r="153" spans="2:6" ht="15.75" customHeight="1" x14ac:dyDescent="0.25">
      <c r="B153" s="1"/>
      <c r="C153" s="91"/>
      <c r="F153" s="1"/>
    </row>
    <row r="154" spans="2:6" ht="15.75" customHeight="1" x14ac:dyDescent="0.25">
      <c r="B154" s="1"/>
      <c r="C154" s="91"/>
      <c r="F154" s="1"/>
    </row>
    <row r="155" spans="2:6" ht="15.75" customHeight="1" x14ac:dyDescent="0.25">
      <c r="B155" s="1"/>
      <c r="C155" s="91"/>
      <c r="F155" s="1"/>
    </row>
    <row r="156" spans="2:6" ht="15.75" customHeight="1" x14ac:dyDescent="0.25">
      <c r="B156" s="1"/>
      <c r="C156" s="91"/>
      <c r="F156" s="1"/>
    </row>
    <row r="157" spans="2:6" ht="15.75" customHeight="1" x14ac:dyDescent="0.25">
      <c r="B157" s="1"/>
      <c r="C157" s="91"/>
      <c r="F157" s="1"/>
    </row>
    <row r="158" spans="2:6" ht="15.75" customHeight="1" x14ac:dyDescent="0.25">
      <c r="B158" s="1"/>
      <c r="C158" s="91"/>
      <c r="F158" s="1"/>
    </row>
    <row r="159" spans="2:6" ht="15.75" customHeight="1" x14ac:dyDescent="0.25">
      <c r="B159" s="1"/>
      <c r="C159" s="91"/>
      <c r="F159" s="1"/>
    </row>
    <row r="160" spans="2:6" ht="15.75" customHeight="1" x14ac:dyDescent="0.25">
      <c r="B160" s="1"/>
      <c r="C160" s="91"/>
      <c r="F160" s="1"/>
    </row>
    <row r="161" spans="2:6" ht="15.75" customHeight="1" x14ac:dyDescent="0.25">
      <c r="B161" s="1"/>
      <c r="C161" s="91"/>
      <c r="F161" s="1"/>
    </row>
    <row r="162" spans="2:6" ht="15.75" customHeight="1" x14ac:dyDescent="0.25">
      <c r="B162" s="1"/>
      <c r="C162" s="91"/>
      <c r="F162" s="1"/>
    </row>
    <row r="163" spans="2:6" ht="15.75" customHeight="1" x14ac:dyDescent="0.25">
      <c r="B163" s="1"/>
      <c r="C163" s="91"/>
      <c r="F163" s="1"/>
    </row>
    <row r="164" spans="2:6" ht="15.75" customHeight="1" x14ac:dyDescent="0.25">
      <c r="B164" s="1"/>
      <c r="C164" s="91"/>
      <c r="F164" s="1"/>
    </row>
    <row r="165" spans="2:6" ht="15.75" customHeight="1" x14ac:dyDescent="0.25">
      <c r="B165" s="1"/>
      <c r="C165" s="91"/>
      <c r="F165" s="1"/>
    </row>
    <row r="166" spans="2:6" ht="15.75" customHeight="1" x14ac:dyDescent="0.25">
      <c r="B166" s="1"/>
      <c r="C166" s="91"/>
      <c r="F166" s="1"/>
    </row>
    <row r="167" spans="2:6" ht="15.75" customHeight="1" x14ac:dyDescent="0.25">
      <c r="B167" s="1"/>
      <c r="C167" s="91"/>
      <c r="F167" s="1"/>
    </row>
    <row r="168" spans="2:6" ht="15.75" customHeight="1" x14ac:dyDescent="0.25">
      <c r="B168" s="1"/>
      <c r="C168" s="91"/>
      <c r="F168" s="1"/>
    </row>
    <row r="169" spans="2:6" ht="15.75" customHeight="1" x14ac:dyDescent="0.25">
      <c r="B169" s="1"/>
      <c r="C169" s="91"/>
      <c r="F169" s="1"/>
    </row>
    <row r="170" spans="2:6" ht="15.75" customHeight="1" x14ac:dyDescent="0.25">
      <c r="B170" s="1"/>
      <c r="C170" s="91"/>
      <c r="F170" s="1"/>
    </row>
    <row r="171" spans="2:6" ht="15.75" customHeight="1" x14ac:dyDescent="0.25">
      <c r="B171" s="1"/>
      <c r="C171" s="91"/>
      <c r="F171" s="1"/>
    </row>
    <row r="172" spans="2:6" ht="15.75" customHeight="1" x14ac:dyDescent="0.25">
      <c r="B172" s="1"/>
      <c r="C172" s="91"/>
      <c r="F172" s="1"/>
    </row>
    <row r="173" spans="2:6" ht="15.75" customHeight="1" x14ac:dyDescent="0.25">
      <c r="B173" s="1"/>
      <c r="C173" s="91"/>
      <c r="F173" s="1"/>
    </row>
    <row r="174" spans="2:6" ht="15.75" customHeight="1" x14ac:dyDescent="0.25">
      <c r="B174" s="1"/>
      <c r="C174" s="91"/>
      <c r="F174" s="1"/>
    </row>
    <row r="175" spans="2:6" ht="15.75" customHeight="1" x14ac:dyDescent="0.25">
      <c r="B175" s="1"/>
      <c r="C175" s="91"/>
      <c r="F175" s="1"/>
    </row>
    <row r="176" spans="2:6" ht="15.75" customHeight="1" x14ac:dyDescent="0.25">
      <c r="B176" s="1"/>
      <c r="C176" s="91"/>
      <c r="F176" s="1"/>
    </row>
    <row r="177" spans="2:6" ht="15.75" customHeight="1" x14ac:dyDescent="0.25">
      <c r="B177" s="1"/>
      <c r="C177" s="91"/>
      <c r="F177" s="1"/>
    </row>
    <row r="178" spans="2:6" ht="15.75" customHeight="1" x14ac:dyDescent="0.25">
      <c r="B178" s="1"/>
      <c r="C178" s="91"/>
      <c r="F178" s="1"/>
    </row>
    <row r="179" spans="2:6" ht="15.75" customHeight="1" x14ac:dyDescent="0.25">
      <c r="B179" s="1"/>
      <c r="C179" s="91"/>
      <c r="F179" s="1"/>
    </row>
    <row r="180" spans="2:6" ht="15.75" customHeight="1" x14ac:dyDescent="0.25">
      <c r="B180" s="1"/>
      <c r="C180" s="91"/>
      <c r="F180" s="1"/>
    </row>
    <row r="181" spans="2:6" ht="15.75" customHeight="1" x14ac:dyDescent="0.25">
      <c r="B181" s="1"/>
      <c r="C181" s="91"/>
      <c r="F181" s="1"/>
    </row>
    <row r="182" spans="2:6" ht="15.75" customHeight="1" x14ac:dyDescent="0.25">
      <c r="B182" s="1"/>
      <c r="C182" s="91"/>
      <c r="F182" s="1"/>
    </row>
    <row r="183" spans="2:6" ht="15.75" customHeight="1" x14ac:dyDescent="0.25">
      <c r="B183" s="1"/>
      <c r="C183" s="91"/>
      <c r="F183" s="1"/>
    </row>
    <row r="184" spans="2:6" ht="15.75" customHeight="1" x14ac:dyDescent="0.25">
      <c r="B184" s="1"/>
      <c r="C184" s="91"/>
      <c r="F184" s="1"/>
    </row>
    <row r="185" spans="2:6" ht="15.75" customHeight="1" x14ac:dyDescent="0.25">
      <c r="B185" s="1"/>
      <c r="C185" s="91"/>
      <c r="F185" s="1"/>
    </row>
    <row r="186" spans="2:6" ht="15.75" customHeight="1" x14ac:dyDescent="0.25">
      <c r="B186" s="1"/>
      <c r="C186" s="91"/>
      <c r="F186" s="1"/>
    </row>
    <row r="187" spans="2:6" ht="15.75" customHeight="1" x14ac:dyDescent="0.25">
      <c r="B187" s="1"/>
      <c r="C187" s="91"/>
      <c r="F187" s="1"/>
    </row>
    <row r="188" spans="2:6" ht="15.75" customHeight="1" x14ac:dyDescent="0.25">
      <c r="B188" s="1"/>
      <c r="C188" s="91"/>
      <c r="F188" s="1"/>
    </row>
    <row r="189" spans="2:6" ht="15.75" customHeight="1" x14ac:dyDescent="0.25">
      <c r="B189" s="1"/>
      <c r="C189" s="91"/>
      <c r="F189" s="1"/>
    </row>
    <row r="190" spans="2:6" ht="15.75" customHeight="1" x14ac:dyDescent="0.25">
      <c r="B190" s="1"/>
      <c r="C190" s="91"/>
      <c r="F190" s="1"/>
    </row>
    <row r="191" spans="2:6" ht="15.75" customHeight="1" x14ac:dyDescent="0.25">
      <c r="B191" s="1"/>
      <c r="C191" s="91"/>
      <c r="F191" s="1"/>
    </row>
    <row r="192" spans="2:6" ht="15.75" customHeight="1" x14ac:dyDescent="0.25">
      <c r="B192" s="1"/>
      <c r="C192" s="91"/>
      <c r="F192" s="1"/>
    </row>
    <row r="193" spans="2:6" ht="15.75" customHeight="1" x14ac:dyDescent="0.25">
      <c r="B193" s="1"/>
      <c r="C193" s="91"/>
      <c r="F193" s="1"/>
    </row>
    <row r="194" spans="2:6" ht="15.75" customHeight="1" x14ac:dyDescent="0.25">
      <c r="B194" s="1"/>
      <c r="C194" s="91"/>
      <c r="F194" s="1"/>
    </row>
    <row r="195" spans="2:6" ht="15.75" customHeight="1" x14ac:dyDescent="0.25">
      <c r="B195" s="1"/>
      <c r="C195" s="91"/>
      <c r="F195" s="1"/>
    </row>
    <row r="196" spans="2:6" ht="15.75" customHeight="1" x14ac:dyDescent="0.25">
      <c r="B196" s="1"/>
      <c r="C196" s="91"/>
      <c r="F196" s="1"/>
    </row>
    <row r="197" spans="2:6" ht="15.75" customHeight="1" x14ac:dyDescent="0.25">
      <c r="B197" s="1"/>
      <c r="C197" s="91"/>
      <c r="F197" s="1"/>
    </row>
    <row r="198" spans="2:6" ht="15.75" customHeight="1" x14ac:dyDescent="0.25">
      <c r="B198" s="1"/>
      <c r="C198" s="91"/>
      <c r="F198" s="1"/>
    </row>
    <row r="199" spans="2:6" ht="15.75" customHeight="1" x14ac:dyDescent="0.25">
      <c r="B199" s="1"/>
      <c r="C199" s="91"/>
      <c r="F199" s="1"/>
    </row>
    <row r="200" spans="2:6" ht="15.75" customHeight="1" x14ac:dyDescent="0.25">
      <c r="B200" s="1"/>
      <c r="C200" s="91"/>
      <c r="F200" s="1"/>
    </row>
    <row r="201" spans="2:6" ht="15.75" customHeight="1" x14ac:dyDescent="0.25">
      <c r="B201" s="1"/>
      <c r="C201" s="91"/>
      <c r="F201" s="1"/>
    </row>
    <row r="202" spans="2:6" ht="15.75" customHeight="1" x14ac:dyDescent="0.25">
      <c r="B202" s="1"/>
      <c r="C202" s="91"/>
      <c r="F202" s="1"/>
    </row>
    <row r="203" spans="2:6" ht="15.75" customHeight="1" x14ac:dyDescent="0.25">
      <c r="B203" s="1"/>
      <c r="C203" s="91"/>
      <c r="F203" s="1"/>
    </row>
    <row r="204" spans="2:6" ht="15.75" customHeight="1" x14ac:dyDescent="0.25">
      <c r="B204" s="1"/>
      <c r="C204" s="91"/>
      <c r="F204" s="1"/>
    </row>
    <row r="205" spans="2:6" ht="15.75" customHeight="1" x14ac:dyDescent="0.25">
      <c r="B205" s="1"/>
      <c r="C205" s="91"/>
      <c r="F205" s="1"/>
    </row>
    <row r="206" spans="2:6" ht="15.75" customHeight="1" x14ac:dyDescent="0.25">
      <c r="B206" s="1"/>
      <c r="C206" s="91"/>
      <c r="F206" s="1"/>
    </row>
    <row r="207" spans="2:6" ht="15.75" customHeight="1" x14ac:dyDescent="0.25">
      <c r="B207" s="1"/>
      <c r="C207" s="91"/>
      <c r="F207" s="1"/>
    </row>
    <row r="208" spans="2:6" ht="15.75" customHeight="1" x14ac:dyDescent="0.25">
      <c r="B208" s="1"/>
      <c r="C208" s="91"/>
      <c r="F208" s="1"/>
    </row>
    <row r="209" spans="2:6" ht="15.75" customHeight="1" x14ac:dyDescent="0.25">
      <c r="B209" s="1"/>
      <c r="C209" s="91"/>
      <c r="F209" s="1"/>
    </row>
    <row r="210" spans="2:6" ht="15.75" customHeight="1" x14ac:dyDescent="0.25">
      <c r="B210" s="1"/>
      <c r="C210" s="91"/>
      <c r="F210" s="1"/>
    </row>
    <row r="211" spans="2:6" ht="15.75" customHeight="1" x14ac:dyDescent="0.25">
      <c r="B211" s="1"/>
      <c r="C211" s="91"/>
      <c r="F211" s="1"/>
    </row>
    <row r="212" spans="2:6" ht="15.75" customHeight="1" x14ac:dyDescent="0.25">
      <c r="B212" s="1"/>
      <c r="C212" s="91"/>
      <c r="F212" s="1"/>
    </row>
    <row r="213" spans="2:6" ht="15.75" customHeight="1" x14ac:dyDescent="0.25">
      <c r="B213" s="1"/>
      <c r="C213" s="91"/>
      <c r="F213" s="1"/>
    </row>
    <row r="214" spans="2:6" ht="15.75" customHeight="1" x14ac:dyDescent="0.25">
      <c r="B214" s="1"/>
      <c r="C214" s="91"/>
      <c r="F214" s="1"/>
    </row>
    <row r="215" spans="2:6" ht="15.75" customHeight="1" x14ac:dyDescent="0.25">
      <c r="B215" s="1"/>
      <c r="C215" s="91"/>
      <c r="F215" s="1"/>
    </row>
    <row r="216" spans="2:6" ht="15.75" customHeight="1" x14ac:dyDescent="0.25">
      <c r="B216" s="1"/>
      <c r="C216" s="91"/>
      <c r="F216" s="1"/>
    </row>
    <row r="217" spans="2:6" ht="15.75" customHeight="1" x14ac:dyDescent="0.25">
      <c r="B217" s="1"/>
      <c r="C217" s="91"/>
      <c r="F217" s="1"/>
    </row>
    <row r="218" spans="2:6" ht="15.75" customHeight="1" x14ac:dyDescent="0.25">
      <c r="B218" s="1"/>
      <c r="C218" s="91"/>
      <c r="F218" s="1"/>
    </row>
    <row r="219" spans="2:6" ht="15.75" customHeight="1" x14ac:dyDescent="0.25">
      <c r="B219" s="1"/>
      <c r="C219" s="91"/>
      <c r="F219" s="1"/>
    </row>
    <row r="220" spans="2:6" ht="15.75" customHeight="1" x14ac:dyDescent="0.25">
      <c r="B220" s="1"/>
      <c r="C220" s="91"/>
      <c r="F220" s="1"/>
    </row>
    <row r="221" spans="2:6" ht="15.75" customHeight="1" x14ac:dyDescent="0.25">
      <c r="B221" s="1"/>
      <c r="C221" s="91"/>
      <c r="F221" s="1"/>
    </row>
    <row r="222" spans="2:6" ht="15.75" customHeight="1" x14ac:dyDescent="0.25">
      <c r="B222" s="1"/>
      <c r="C222" s="91"/>
      <c r="F222" s="1"/>
    </row>
    <row r="223" spans="2:6" ht="15.75" customHeight="1" x14ac:dyDescent="0.25">
      <c r="B223" s="1"/>
      <c r="C223" s="91"/>
      <c r="F223" s="1"/>
    </row>
    <row r="224" spans="2:6" ht="15.75" customHeight="1" x14ac:dyDescent="0.25">
      <c r="B224" s="1"/>
      <c r="C224" s="91"/>
      <c r="F224" s="1"/>
    </row>
    <row r="225" spans="2:6" ht="15.75" customHeight="1" x14ac:dyDescent="0.25">
      <c r="B225" s="1"/>
      <c r="C225" s="91"/>
      <c r="F225" s="1"/>
    </row>
    <row r="226" spans="2:6" ht="15.75" customHeight="1" x14ac:dyDescent="0.25">
      <c r="B226" s="1"/>
      <c r="C226" s="91"/>
      <c r="F226" s="1"/>
    </row>
    <row r="227" spans="2:6" ht="15.75" customHeight="1" x14ac:dyDescent="0.25">
      <c r="B227" s="1"/>
      <c r="C227" s="91"/>
      <c r="F227" s="1"/>
    </row>
    <row r="228" spans="2:6" ht="15.75" customHeight="1" x14ac:dyDescent="0.25">
      <c r="B228" s="1"/>
      <c r="C228" s="91"/>
      <c r="F228" s="1"/>
    </row>
    <row r="229" spans="2:6" ht="15.75" customHeight="1" x14ac:dyDescent="0.25">
      <c r="B229" s="1"/>
      <c r="C229" s="91"/>
      <c r="F229" s="1"/>
    </row>
    <row r="230" spans="2:6" ht="15.75" customHeight="1" x14ac:dyDescent="0.25">
      <c r="B230" s="1"/>
      <c r="C230" s="91"/>
      <c r="F230" s="1"/>
    </row>
    <row r="231" spans="2:6" ht="15.75" customHeight="1" x14ac:dyDescent="0.25">
      <c r="B231" s="1"/>
      <c r="C231" s="91"/>
      <c r="F231" s="1"/>
    </row>
    <row r="232" spans="2:6" ht="15.75" customHeight="1" x14ac:dyDescent="0.25">
      <c r="B232" s="1"/>
      <c r="C232" s="91"/>
      <c r="F232" s="1"/>
    </row>
    <row r="233" spans="2:6" ht="15.75" customHeight="1" x14ac:dyDescent="0.25">
      <c r="B233" s="1"/>
      <c r="C233" s="91"/>
      <c r="F233" s="1"/>
    </row>
    <row r="234" spans="2:6" ht="15.75" customHeight="1" x14ac:dyDescent="0.25">
      <c r="B234" s="1"/>
      <c r="C234" s="91"/>
      <c r="F234" s="1"/>
    </row>
    <row r="235" spans="2:6" ht="15.75" customHeight="1" x14ac:dyDescent="0.25">
      <c r="B235" s="1"/>
      <c r="C235" s="91"/>
      <c r="F235" s="1"/>
    </row>
    <row r="236" spans="2:6" ht="15.75" customHeight="1" x14ac:dyDescent="0.25">
      <c r="B236" s="1"/>
      <c r="C236" s="91"/>
      <c r="F236" s="1"/>
    </row>
    <row r="237" spans="2:6" ht="15.75" customHeight="1" x14ac:dyDescent="0.25">
      <c r="B237" s="1"/>
      <c r="C237" s="91"/>
      <c r="F237" s="1"/>
    </row>
    <row r="238" spans="2:6" ht="15.75" customHeight="1" x14ac:dyDescent="0.25">
      <c r="B238" s="1"/>
      <c r="C238" s="91"/>
      <c r="F238" s="1"/>
    </row>
    <row r="239" spans="2:6" ht="15.75" customHeight="1" x14ac:dyDescent="0.25">
      <c r="B239" s="1"/>
      <c r="C239" s="91"/>
      <c r="F239" s="1"/>
    </row>
    <row r="240" spans="2:6" ht="15.75" customHeight="1" x14ac:dyDescent="0.25">
      <c r="B240" s="1"/>
      <c r="C240" s="91"/>
      <c r="F240" s="1"/>
    </row>
    <row r="241" spans="2:6" ht="15.75" customHeight="1" x14ac:dyDescent="0.25">
      <c r="B241" s="1"/>
      <c r="C241" s="91"/>
      <c r="F241" s="1"/>
    </row>
    <row r="242" spans="2:6" ht="15.75" customHeight="1" x14ac:dyDescent="0.25">
      <c r="B242" s="1"/>
      <c r="C242" s="91"/>
      <c r="F242" s="1"/>
    </row>
    <row r="243" spans="2:6" ht="15.75" customHeight="1" x14ac:dyDescent="0.25">
      <c r="B243" s="1"/>
      <c r="C243" s="91"/>
      <c r="F243" s="1"/>
    </row>
    <row r="244" spans="2:6" ht="15.75" customHeight="1" x14ac:dyDescent="0.25">
      <c r="B244" s="1"/>
      <c r="C244" s="91"/>
      <c r="F244" s="1"/>
    </row>
    <row r="245" spans="2:6" ht="15.75" customHeight="1" x14ac:dyDescent="0.25">
      <c r="B245" s="1"/>
      <c r="C245" s="91"/>
      <c r="F245" s="1"/>
    </row>
    <row r="246" spans="2:6" ht="15.75" customHeight="1" x14ac:dyDescent="0.25">
      <c r="B246" s="1"/>
      <c r="C246" s="91"/>
      <c r="F246" s="1"/>
    </row>
    <row r="247" spans="2:6" ht="15.75" customHeight="1" x14ac:dyDescent="0.25">
      <c r="B247" s="1"/>
      <c r="C247" s="91"/>
      <c r="F247" s="1"/>
    </row>
    <row r="248" spans="2:6" ht="15.75" customHeight="1" x14ac:dyDescent="0.25">
      <c r="B248" s="1"/>
      <c r="C248" s="91"/>
      <c r="F248" s="1"/>
    </row>
    <row r="249" spans="2:6" ht="15.75" customHeight="1" x14ac:dyDescent="0.25">
      <c r="B249" s="1"/>
      <c r="C249" s="91"/>
      <c r="F249" s="1"/>
    </row>
    <row r="250" spans="2:6" ht="15.75" customHeight="1" x14ac:dyDescent="0.25">
      <c r="B250" s="1"/>
      <c r="C250" s="91"/>
      <c r="F250" s="1"/>
    </row>
    <row r="251" spans="2:6" ht="15.75" customHeight="1" x14ac:dyDescent="0.25">
      <c r="B251" s="1"/>
      <c r="C251" s="91"/>
      <c r="F251" s="1"/>
    </row>
    <row r="252" spans="2:6" ht="15.75" customHeight="1" x14ac:dyDescent="0.25">
      <c r="B252" s="1"/>
      <c r="C252" s="91"/>
      <c r="F252" s="1"/>
    </row>
    <row r="253" spans="2:6" ht="15.75" customHeight="1" x14ac:dyDescent="0.25">
      <c r="B253" s="1"/>
      <c r="C253" s="91"/>
      <c r="F253" s="1"/>
    </row>
    <row r="254" spans="2:6" ht="15.75" customHeight="1" x14ac:dyDescent="0.25">
      <c r="B254" s="1"/>
      <c r="C254" s="91"/>
      <c r="F254" s="1"/>
    </row>
    <row r="255" spans="2:6" ht="15.75" customHeight="1" x14ac:dyDescent="0.25">
      <c r="B255" s="1"/>
      <c r="C255" s="91"/>
      <c r="F255" s="1"/>
    </row>
    <row r="256" spans="2:6" ht="15.75" customHeight="1" x14ac:dyDescent="0.25">
      <c r="B256" s="1"/>
      <c r="C256" s="91"/>
      <c r="F256" s="1"/>
    </row>
    <row r="257" spans="2:6" ht="15.75" customHeight="1" x14ac:dyDescent="0.25">
      <c r="B257" s="1"/>
      <c r="C257" s="91"/>
      <c r="F257" s="1"/>
    </row>
    <row r="258" spans="2:6" ht="15.75" customHeight="1" x14ac:dyDescent="0.25">
      <c r="B258" s="1"/>
      <c r="C258" s="91"/>
      <c r="F258" s="1"/>
    </row>
    <row r="259" spans="2:6" ht="15.75" customHeight="1" x14ac:dyDescent="0.25">
      <c r="B259" s="1"/>
      <c r="C259" s="91"/>
      <c r="F259" s="1"/>
    </row>
    <row r="260" spans="2:6" ht="15.75" customHeight="1" x14ac:dyDescent="0.25">
      <c r="B260" s="1"/>
      <c r="C260" s="91"/>
      <c r="F260" s="1"/>
    </row>
    <row r="261" spans="2:6" ht="15.75" customHeight="1" x14ac:dyDescent="0.25">
      <c r="B261" s="1"/>
      <c r="C261" s="91"/>
      <c r="F261" s="1"/>
    </row>
    <row r="262" spans="2:6" ht="15.75" customHeight="1" x14ac:dyDescent="0.25">
      <c r="B262" s="1"/>
      <c r="C262" s="91"/>
      <c r="F262" s="1"/>
    </row>
    <row r="263" spans="2:6" ht="15.75" customHeight="1" x14ac:dyDescent="0.25">
      <c r="B263" s="1"/>
      <c r="C263" s="91"/>
      <c r="F263" s="1"/>
    </row>
    <row r="264" spans="2:6" ht="15.75" customHeight="1" x14ac:dyDescent="0.25">
      <c r="B264" s="1"/>
      <c r="C264" s="91"/>
      <c r="F264" s="1"/>
    </row>
    <row r="265" spans="2:6" ht="15.75" customHeight="1" x14ac:dyDescent="0.25">
      <c r="B265" s="1"/>
      <c r="C265" s="91"/>
      <c r="F265" s="1"/>
    </row>
    <row r="266" spans="2:6" ht="15.75" customHeight="1" x14ac:dyDescent="0.25">
      <c r="B266" s="1"/>
      <c r="C266" s="91"/>
      <c r="F266" s="1"/>
    </row>
    <row r="267" spans="2:6" ht="15.75" customHeight="1" x14ac:dyDescent="0.25">
      <c r="B267" s="1"/>
      <c r="C267" s="91"/>
      <c r="F267" s="1"/>
    </row>
    <row r="268" spans="2:6" ht="15.75" customHeight="1" x14ac:dyDescent="0.25">
      <c r="B268" s="1"/>
      <c r="C268" s="91"/>
      <c r="F268" s="1"/>
    </row>
    <row r="269" spans="2:6" ht="15.75" customHeight="1" x14ac:dyDescent="0.25">
      <c r="B269" s="1"/>
      <c r="C269" s="91"/>
      <c r="F269" s="1"/>
    </row>
    <row r="270" spans="2:6" ht="15.75" customHeight="1" x14ac:dyDescent="0.25">
      <c r="B270" s="1"/>
      <c r="C270" s="91"/>
      <c r="F270" s="1"/>
    </row>
    <row r="271" spans="2:6" ht="15.75" customHeight="1" x14ac:dyDescent="0.25">
      <c r="B271" s="1"/>
      <c r="C271" s="91"/>
      <c r="F271" s="1"/>
    </row>
    <row r="272" spans="2:6" ht="15.75" customHeight="1" x14ac:dyDescent="0.25">
      <c r="B272" s="1"/>
      <c r="C272" s="91"/>
      <c r="F272" s="1"/>
    </row>
    <row r="273" spans="2:6" ht="15.75" customHeight="1" x14ac:dyDescent="0.25">
      <c r="B273" s="1"/>
      <c r="C273" s="91"/>
      <c r="F273" s="1"/>
    </row>
    <row r="274" spans="2:6" ht="15.75" customHeight="1" x14ac:dyDescent="0.25">
      <c r="B274" s="1"/>
      <c r="C274" s="91"/>
      <c r="F274" s="1"/>
    </row>
    <row r="275" spans="2:6" ht="15.75" customHeight="1" x14ac:dyDescent="0.25">
      <c r="B275" s="1"/>
      <c r="C275" s="91"/>
      <c r="F275" s="1"/>
    </row>
    <row r="276" spans="2:6" ht="15.75" customHeight="1" x14ac:dyDescent="0.25">
      <c r="B276" s="1"/>
      <c r="C276" s="91"/>
      <c r="F276" s="1"/>
    </row>
    <row r="277" spans="2:6" ht="15.75" customHeight="1" x14ac:dyDescent="0.25">
      <c r="B277" s="1"/>
      <c r="C277" s="91"/>
      <c r="F277" s="1"/>
    </row>
    <row r="278" spans="2:6" ht="15.75" customHeight="1" x14ac:dyDescent="0.25">
      <c r="B278" s="1"/>
      <c r="C278" s="91"/>
      <c r="F278" s="1"/>
    </row>
    <row r="279" spans="2:6" ht="15.75" customHeight="1" x14ac:dyDescent="0.25">
      <c r="B279" s="1"/>
      <c r="C279" s="91"/>
      <c r="F279" s="1"/>
    </row>
    <row r="280" spans="2:6" ht="15.75" customHeight="1" x14ac:dyDescent="0.25">
      <c r="B280" s="1"/>
      <c r="C280" s="91"/>
      <c r="F280" s="1"/>
    </row>
    <row r="281" spans="2:6" ht="15.75" customHeight="1" x14ac:dyDescent="0.25">
      <c r="B281" s="1"/>
      <c r="C281" s="91"/>
      <c r="F281" s="1"/>
    </row>
    <row r="282" spans="2:6" ht="15.75" customHeight="1" x14ac:dyDescent="0.25">
      <c r="B282" s="1"/>
      <c r="C282" s="91"/>
      <c r="F282" s="1"/>
    </row>
    <row r="283" spans="2:6" ht="15.75" customHeight="1" x14ac:dyDescent="0.25">
      <c r="B283" s="1"/>
      <c r="C283" s="91"/>
      <c r="F283" s="1"/>
    </row>
    <row r="284" spans="2:6" ht="15.75" customHeight="1" x14ac:dyDescent="0.25">
      <c r="B284" s="1"/>
      <c r="C284" s="91"/>
      <c r="F284" s="1"/>
    </row>
    <row r="285" spans="2:6" ht="15.75" customHeight="1" x14ac:dyDescent="0.25">
      <c r="B285" s="1"/>
      <c r="C285" s="91"/>
      <c r="F285" s="1"/>
    </row>
    <row r="286" spans="2:6" ht="15.75" customHeight="1" x14ac:dyDescent="0.25">
      <c r="B286" s="1"/>
      <c r="C286" s="91"/>
      <c r="F286" s="1"/>
    </row>
    <row r="287" spans="2:6" ht="15.75" customHeight="1" x14ac:dyDescent="0.25">
      <c r="B287" s="1"/>
      <c r="C287" s="91"/>
      <c r="F287" s="1"/>
    </row>
    <row r="288" spans="2:6" ht="15.75" customHeight="1" x14ac:dyDescent="0.25">
      <c r="B288" s="1"/>
      <c r="C288" s="91"/>
      <c r="F288" s="1"/>
    </row>
    <row r="289" spans="2:6" ht="15.75" customHeight="1" x14ac:dyDescent="0.25">
      <c r="B289" s="1"/>
      <c r="C289" s="91"/>
      <c r="F289" s="1"/>
    </row>
    <row r="290" spans="2:6" ht="15.75" customHeight="1" x14ac:dyDescent="0.25">
      <c r="B290" s="1"/>
      <c r="C290" s="91"/>
      <c r="F290" s="1"/>
    </row>
    <row r="291" spans="2:6" ht="15.75" customHeight="1" x14ac:dyDescent="0.25">
      <c r="B291" s="1"/>
      <c r="C291" s="91"/>
      <c r="F291" s="1"/>
    </row>
    <row r="292" spans="2:6" ht="15.75" customHeight="1" x14ac:dyDescent="0.25">
      <c r="B292" s="1"/>
      <c r="C292" s="91"/>
      <c r="F292" s="1"/>
    </row>
    <row r="293" spans="2:6" ht="15.75" customHeight="1" x14ac:dyDescent="0.25">
      <c r="B293" s="1"/>
      <c r="C293" s="91"/>
      <c r="F293" s="1"/>
    </row>
    <row r="294" spans="2:6" ht="15.75" customHeight="1" x14ac:dyDescent="0.25">
      <c r="B294" s="1"/>
      <c r="C294" s="91"/>
      <c r="F294" s="1"/>
    </row>
    <row r="295" spans="2:6" ht="15.75" customHeight="1" x14ac:dyDescent="0.25">
      <c r="B295" s="1"/>
      <c r="C295" s="91"/>
      <c r="F295" s="1"/>
    </row>
    <row r="296" spans="2:6" ht="15.75" customHeight="1" x14ac:dyDescent="0.25">
      <c r="B296" s="1"/>
      <c r="C296" s="91"/>
      <c r="F296" s="1"/>
    </row>
    <row r="297" spans="2:6" ht="15.75" customHeight="1" x14ac:dyDescent="0.25">
      <c r="B297" s="1"/>
      <c r="C297" s="91"/>
      <c r="F297" s="1"/>
    </row>
    <row r="298" spans="2:6" ht="15.75" customHeight="1" x14ac:dyDescent="0.25">
      <c r="B298" s="1"/>
      <c r="C298" s="91"/>
      <c r="F298" s="1"/>
    </row>
    <row r="299" spans="2:6" ht="15.75" customHeight="1" x14ac:dyDescent="0.25">
      <c r="B299" s="1"/>
      <c r="C299" s="91"/>
      <c r="F299" s="1"/>
    </row>
    <row r="300" spans="2:6" ht="15.75" customHeight="1" x14ac:dyDescent="0.25">
      <c r="B300" s="1"/>
      <c r="C300" s="91"/>
      <c r="F300" s="1"/>
    </row>
    <row r="301" spans="2:6" ht="15.75" customHeight="1" x14ac:dyDescent="0.25">
      <c r="B301" s="1"/>
      <c r="C301" s="91"/>
      <c r="F301" s="1"/>
    </row>
    <row r="302" spans="2:6" ht="15.75" customHeight="1" x14ac:dyDescent="0.25">
      <c r="B302" s="1"/>
      <c r="C302" s="91"/>
      <c r="F302" s="1"/>
    </row>
    <row r="303" spans="2:6" ht="15.75" customHeight="1" x14ac:dyDescent="0.25">
      <c r="B303" s="1"/>
      <c r="C303" s="91"/>
      <c r="F303" s="1"/>
    </row>
    <row r="304" spans="2:6" ht="15.75" customHeight="1" x14ac:dyDescent="0.25">
      <c r="B304" s="1"/>
      <c r="C304" s="91"/>
      <c r="F304" s="1"/>
    </row>
    <row r="305" spans="2:6" ht="15.75" customHeight="1" x14ac:dyDescent="0.25">
      <c r="B305" s="1"/>
      <c r="C305" s="91"/>
      <c r="F305" s="1"/>
    </row>
    <row r="306" spans="2:6" ht="15.75" customHeight="1" x14ac:dyDescent="0.25">
      <c r="B306" s="1"/>
      <c r="C306" s="91"/>
      <c r="F306" s="1"/>
    </row>
    <row r="307" spans="2:6" ht="15.75" customHeight="1" x14ac:dyDescent="0.25">
      <c r="B307" s="1"/>
      <c r="C307" s="91"/>
      <c r="F307" s="1"/>
    </row>
    <row r="308" spans="2:6" ht="15.75" customHeight="1" x14ac:dyDescent="0.25">
      <c r="B308" s="1"/>
      <c r="C308" s="91"/>
      <c r="F308" s="1"/>
    </row>
    <row r="309" spans="2:6" ht="15.75" customHeight="1" x14ac:dyDescent="0.25">
      <c r="B309" s="1"/>
      <c r="C309" s="91"/>
      <c r="F309" s="1"/>
    </row>
    <row r="310" spans="2:6" ht="15.75" customHeight="1" x14ac:dyDescent="0.25">
      <c r="B310" s="1"/>
      <c r="C310" s="91"/>
      <c r="F310" s="1"/>
    </row>
    <row r="311" spans="2:6" ht="15.75" customHeight="1" x14ac:dyDescent="0.25">
      <c r="B311" s="1"/>
      <c r="C311" s="91"/>
      <c r="F311" s="1"/>
    </row>
    <row r="312" spans="2:6" ht="15.75" customHeight="1" x14ac:dyDescent="0.25">
      <c r="B312" s="1"/>
      <c r="C312" s="91"/>
      <c r="F312" s="1"/>
    </row>
    <row r="313" spans="2:6" ht="15.75" customHeight="1" x14ac:dyDescent="0.25">
      <c r="B313" s="1"/>
      <c r="C313" s="91"/>
      <c r="F313" s="1"/>
    </row>
    <row r="314" spans="2:6" ht="15.75" customHeight="1" x14ac:dyDescent="0.25">
      <c r="B314" s="1"/>
      <c r="C314" s="91"/>
      <c r="F314" s="1"/>
    </row>
    <row r="315" spans="2:6" ht="15.75" customHeight="1" x14ac:dyDescent="0.25">
      <c r="B315" s="1"/>
      <c r="C315" s="91"/>
      <c r="F315" s="1"/>
    </row>
    <row r="316" spans="2:6" ht="15.75" customHeight="1" x14ac:dyDescent="0.25">
      <c r="B316" s="1"/>
      <c r="C316" s="91"/>
      <c r="F316" s="1"/>
    </row>
    <row r="317" spans="2:6" ht="15.75" customHeight="1" x14ac:dyDescent="0.25">
      <c r="B317" s="1"/>
      <c r="C317" s="91"/>
      <c r="F317" s="1"/>
    </row>
    <row r="318" spans="2:6" ht="15.75" customHeight="1" x14ac:dyDescent="0.25">
      <c r="B318" s="1"/>
      <c r="C318" s="91"/>
      <c r="F318" s="1"/>
    </row>
    <row r="319" spans="2:6" ht="15.75" customHeight="1" x14ac:dyDescent="0.25">
      <c r="B319" s="1"/>
      <c r="C319" s="91"/>
      <c r="F319" s="1"/>
    </row>
    <row r="320" spans="2:6" ht="15.75" customHeight="1" x14ac:dyDescent="0.25">
      <c r="B320" s="1"/>
      <c r="C320" s="91"/>
      <c r="F320" s="1"/>
    </row>
    <row r="321" spans="2:6" ht="15.75" customHeight="1" x14ac:dyDescent="0.25">
      <c r="B321" s="1"/>
      <c r="C321" s="91"/>
      <c r="F321" s="1"/>
    </row>
    <row r="322" spans="2:6" ht="15.75" customHeight="1" x14ac:dyDescent="0.25">
      <c r="B322" s="1"/>
      <c r="C322" s="91"/>
      <c r="F322" s="1"/>
    </row>
    <row r="323" spans="2:6" ht="15.75" customHeight="1" x14ac:dyDescent="0.25">
      <c r="B323" s="1"/>
      <c r="C323" s="91"/>
      <c r="F323" s="1"/>
    </row>
    <row r="324" spans="2:6" ht="15.75" customHeight="1" x14ac:dyDescent="0.25">
      <c r="B324" s="1"/>
      <c r="C324" s="91"/>
      <c r="F324" s="1"/>
    </row>
    <row r="325" spans="2:6" ht="15.75" customHeight="1" x14ac:dyDescent="0.25">
      <c r="B325" s="1"/>
      <c r="C325" s="91"/>
      <c r="F325" s="1"/>
    </row>
    <row r="326" spans="2:6" ht="15.75" customHeight="1" x14ac:dyDescent="0.25">
      <c r="B326" s="1"/>
      <c r="C326" s="91"/>
      <c r="F326" s="1"/>
    </row>
    <row r="327" spans="2:6" ht="15.75" customHeight="1" x14ac:dyDescent="0.25">
      <c r="B327" s="1"/>
      <c r="C327" s="91"/>
      <c r="F327" s="1"/>
    </row>
    <row r="328" spans="2:6" ht="15.75" customHeight="1" x14ac:dyDescent="0.25">
      <c r="B328" s="1"/>
      <c r="C328" s="91"/>
      <c r="F328" s="1"/>
    </row>
    <row r="329" spans="2:6" ht="15.75" customHeight="1" x14ac:dyDescent="0.25">
      <c r="B329" s="1"/>
      <c r="C329" s="91"/>
      <c r="F329" s="1"/>
    </row>
    <row r="330" spans="2:6" ht="15.75" customHeight="1" x14ac:dyDescent="0.25">
      <c r="B330" s="1"/>
      <c r="C330" s="91"/>
      <c r="F330" s="1"/>
    </row>
    <row r="331" spans="2:6" ht="15.75" customHeight="1" x14ac:dyDescent="0.25">
      <c r="B331" s="1"/>
      <c r="C331" s="91"/>
      <c r="F331" s="1"/>
    </row>
    <row r="332" spans="2:6" ht="15.75" customHeight="1" x14ac:dyDescent="0.25">
      <c r="B332" s="1"/>
      <c r="C332" s="91"/>
      <c r="F332" s="1"/>
    </row>
    <row r="333" spans="2:6" ht="15.75" customHeight="1" x14ac:dyDescent="0.25">
      <c r="B333" s="1"/>
      <c r="C333" s="91"/>
      <c r="F333" s="1"/>
    </row>
    <row r="334" spans="2:6" ht="15.75" customHeight="1" x14ac:dyDescent="0.25">
      <c r="B334" s="1"/>
      <c r="C334" s="91"/>
      <c r="F334" s="1"/>
    </row>
    <row r="335" spans="2:6" ht="15.75" customHeight="1" x14ac:dyDescent="0.25">
      <c r="B335" s="1"/>
      <c r="C335" s="91"/>
      <c r="F335" s="1"/>
    </row>
    <row r="336" spans="2:6" ht="15.75" customHeight="1" x14ac:dyDescent="0.25">
      <c r="B336" s="1"/>
      <c r="C336" s="91"/>
      <c r="F336" s="1"/>
    </row>
    <row r="337" spans="2:6" ht="15.75" customHeight="1" x14ac:dyDescent="0.25">
      <c r="B337" s="1"/>
      <c r="C337" s="91"/>
      <c r="F337" s="1"/>
    </row>
    <row r="338" spans="2:6" ht="15.75" customHeight="1" x14ac:dyDescent="0.25">
      <c r="B338" s="1"/>
      <c r="C338" s="91"/>
      <c r="F338" s="1"/>
    </row>
    <row r="339" spans="2:6" ht="15.75" customHeight="1" x14ac:dyDescent="0.25">
      <c r="B339" s="1"/>
      <c r="C339" s="91"/>
      <c r="F339" s="1"/>
    </row>
    <row r="340" spans="2:6" ht="15.75" customHeight="1" x14ac:dyDescent="0.25">
      <c r="B340" s="1"/>
      <c r="C340" s="91"/>
      <c r="F340" s="1"/>
    </row>
    <row r="341" spans="2:6" ht="15.75" customHeight="1" x14ac:dyDescent="0.25">
      <c r="B341" s="1"/>
      <c r="C341" s="91"/>
      <c r="F341" s="1"/>
    </row>
    <row r="342" spans="2:6" ht="15.75" customHeight="1" x14ac:dyDescent="0.25">
      <c r="B342" s="1"/>
      <c r="C342" s="91"/>
      <c r="F342" s="1"/>
    </row>
    <row r="343" spans="2:6" ht="15.75" customHeight="1" x14ac:dyDescent="0.25">
      <c r="B343" s="1"/>
      <c r="C343" s="91"/>
      <c r="F343" s="1"/>
    </row>
    <row r="344" spans="2:6" ht="15.75" customHeight="1" x14ac:dyDescent="0.25">
      <c r="B344" s="1"/>
      <c r="C344" s="91"/>
      <c r="F344" s="1"/>
    </row>
    <row r="345" spans="2:6" ht="15.75" customHeight="1" x14ac:dyDescent="0.25">
      <c r="B345" s="1"/>
      <c r="C345" s="91"/>
      <c r="F345" s="1"/>
    </row>
    <row r="346" spans="2:6" ht="15.75" customHeight="1" x14ac:dyDescent="0.25">
      <c r="B346" s="1"/>
      <c r="C346" s="91"/>
      <c r="F346" s="1"/>
    </row>
    <row r="347" spans="2:6" ht="15.75" customHeight="1" x14ac:dyDescent="0.25">
      <c r="B347" s="1"/>
      <c r="C347" s="91"/>
      <c r="F347" s="1"/>
    </row>
    <row r="348" spans="2:6" ht="15.75" customHeight="1" x14ac:dyDescent="0.25">
      <c r="B348" s="1"/>
      <c r="C348" s="91"/>
      <c r="F348" s="1"/>
    </row>
    <row r="349" spans="2:6" ht="15.75" customHeight="1" x14ac:dyDescent="0.25">
      <c r="B349" s="1"/>
      <c r="C349" s="91"/>
      <c r="F349" s="1"/>
    </row>
    <row r="350" spans="2:6" ht="15.75" customHeight="1" x14ac:dyDescent="0.25">
      <c r="B350" s="1"/>
      <c r="C350" s="91"/>
      <c r="F350" s="1"/>
    </row>
    <row r="351" spans="2:6" ht="15.75" customHeight="1" x14ac:dyDescent="0.25">
      <c r="B351" s="1"/>
      <c r="C351" s="91"/>
      <c r="F351" s="1"/>
    </row>
    <row r="352" spans="2:6" ht="15.75" customHeight="1" x14ac:dyDescent="0.25">
      <c r="B352" s="1"/>
      <c r="C352" s="91"/>
      <c r="F352" s="1"/>
    </row>
    <row r="353" spans="2:6" ht="15.75" customHeight="1" x14ac:dyDescent="0.25">
      <c r="B353" s="1"/>
      <c r="C353" s="91"/>
      <c r="F353" s="1"/>
    </row>
    <row r="354" spans="2:6" ht="15.75" customHeight="1" x14ac:dyDescent="0.25">
      <c r="B354" s="1"/>
      <c r="C354" s="91"/>
      <c r="F354" s="1"/>
    </row>
    <row r="355" spans="2:6" ht="15.75" customHeight="1" x14ac:dyDescent="0.25">
      <c r="B355" s="1"/>
      <c r="C355" s="91"/>
      <c r="F355" s="1"/>
    </row>
    <row r="356" spans="2:6" ht="15.75" customHeight="1" x14ac:dyDescent="0.25">
      <c r="B356" s="1"/>
      <c r="C356" s="91"/>
      <c r="F356" s="1"/>
    </row>
    <row r="357" spans="2:6" ht="15.75" customHeight="1" x14ac:dyDescent="0.25">
      <c r="B357" s="1"/>
      <c r="C357" s="91"/>
      <c r="F357" s="1"/>
    </row>
    <row r="358" spans="2:6" ht="15.75" customHeight="1" x14ac:dyDescent="0.25">
      <c r="B358" s="1"/>
      <c r="C358" s="91"/>
      <c r="F358" s="1"/>
    </row>
    <row r="359" spans="2:6" ht="15.75" customHeight="1" x14ac:dyDescent="0.25">
      <c r="B359" s="1"/>
      <c r="C359" s="91"/>
      <c r="F359" s="1"/>
    </row>
    <row r="360" spans="2:6" ht="15.75" customHeight="1" x14ac:dyDescent="0.25">
      <c r="B360" s="1"/>
      <c r="C360" s="91"/>
      <c r="F360" s="1"/>
    </row>
    <row r="361" spans="2:6" ht="15.75" customHeight="1" x14ac:dyDescent="0.25">
      <c r="B361" s="1"/>
      <c r="C361" s="91"/>
      <c r="F361" s="1"/>
    </row>
    <row r="362" spans="2:6" ht="15.75" customHeight="1" x14ac:dyDescent="0.25">
      <c r="B362" s="1"/>
      <c r="C362" s="91"/>
      <c r="F362" s="1"/>
    </row>
    <row r="363" spans="2:6" ht="15.75" customHeight="1" x14ac:dyDescent="0.25">
      <c r="B363" s="1"/>
      <c r="C363" s="91"/>
      <c r="F363" s="1"/>
    </row>
    <row r="364" spans="2:6" ht="15.75" customHeight="1" x14ac:dyDescent="0.25">
      <c r="B364" s="1"/>
      <c r="C364" s="91"/>
      <c r="F364" s="1"/>
    </row>
    <row r="365" spans="2:6" ht="15.75" customHeight="1" x14ac:dyDescent="0.25">
      <c r="B365" s="1"/>
      <c r="C365" s="91"/>
      <c r="F365" s="1"/>
    </row>
    <row r="366" spans="2:6" ht="15.75" customHeight="1" x14ac:dyDescent="0.25">
      <c r="B366" s="1"/>
      <c r="C366" s="91"/>
      <c r="F366" s="1"/>
    </row>
    <row r="367" spans="2:6" ht="15.75" customHeight="1" x14ac:dyDescent="0.25">
      <c r="B367" s="1"/>
      <c r="C367" s="91"/>
      <c r="F367" s="1"/>
    </row>
    <row r="368" spans="2:6" ht="15.75" customHeight="1" x14ac:dyDescent="0.25">
      <c r="B368" s="1"/>
      <c r="C368" s="91"/>
      <c r="F368" s="1"/>
    </row>
    <row r="369" spans="2:6" ht="15.75" customHeight="1" x14ac:dyDescent="0.25">
      <c r="B369" s="1"/>
      <c r="C369" s="91"/>
      <c r="F369" s="1"/>
    </row>
    <row r="370" spans="2:6" ht="15.75" customHeight="1" x14ac:dyDescent="0.25">
      <c r="B370" s="1"/>
      <c r="C370" s="91"/>
      <c r="F370" s="1"/>
    </row>
    <row r="371" spans="2:6" ht="15.75" customHeight="1" x14ac:dyDescent="0.25">
      <c r="B371" s="1"/>
      <c r="C371" s="91"/>
      <c r="F371" s="1"/>
    </row>
    <row r="372" spans="2:6" ht="15.75" customHeight="1" x14ac:dyDescent="0.25">
      <c r="B372" s="1"/>
      <c r="C372" s="91"/>
      <c r="F372" s="1"/>
    </row>
    <row r="373" spans="2:6" ht="15.75" customHeight="1" x14ac:dyDescent="0.25">
      <c r="B373" s="1"/>
      <c r="C373" s="91"/>
      <c r="F373" s="1"/>
    </row>
    <row r="374" spans="2:6" ht="15.75" customHeight="1" x14ac:dyDescent="0.25">
      <c r="B374" s="1"/>
      <c r="C374" s="91"/>
      <c r="F374" s="1"/>
    </row>
    <row r="375" spans="2:6" ht="15.75" customHeight="1" x14ac:dyDescent="0.25">
      <c r="B375" s="1"/>
      <c r="C375" s="91"/>
      <c r="F375" s="1"/>
    </row>
    <row r="376" spans="2:6" ht="15.75" customHeight="1" x14ac:dyDescent="0.25">
      <c r="B376" s="1"/>
      <c r="C376" s="91"/>
      <c r="F376" s="1"/>
    </row>
    <row r="377" spans="2:6" ht="15.75" customHeight="1" x14ac:dyDescent="0.25">
      <c r="B377" s="1"/>
      <c r="C377" s="91"/>
      <c r="F377" s="1"/>
    </row>
    <row r="378" spans="2:6" ht="15.75" customHeight="1" x14ac:dyDescent="0.25">
      <c r="B378" s="1"/>
      <c r="C378" s="91"/>
      <c r="F378" s="1"/>
    </row>
    <row r="379" spans="2:6" ht="15.75" customHeight="1" x14ac:dyDescent="0.25">
      <c r="B379" s="1"/>
      <c r="C379" s="91"/>
      <c r="F379" s="1"/>
    </row>
    <row r="380" spans="2:6" ht="15.75" customHeight="1" x14ac:dyDescent="0.25">
      <c r="B380" s="1"/>
      <c r="C380" s="91"/>
      <c r="F380" s="1"/>
    </row>
    <row r="381" spans="2:6" ht="15.75" customHeight="1" x14ac:dyDescent="0.25">
      <c r="B381" s="1"/>
      <c r="C381" s="91"/>
      <c r="F381" s="1"/>
    </row>
    <row r="382" spans="2:6" ht="15.75" customHeight="1" x14ac:dyDescent="0.25">
      <c r="B382" s="1"/>
      <c r="C382" s="91"/>
      <c r="F382" s="1"/>
    </row>
    <row r="383" spans="2:6" ht="15.75" customHeight="1" x14ac:dyDescent="0.25">
      <c r="B383" s="1"/>
      <c r="C383" s="91"/>
      <c r="F383" s="1"/>
    </row>
    <row r="384" spans="2:6" ht="15.75" customHeight="1" x14ac:dyDescent="0.25">
      <c r="B384" s="1"/>
      <c r="C384" s="91"/>
      <c r="F384" s="1"/>
    </row>
    <row r="385" spans="2:6" ht="15.75" customHeight="1" x14ac:dyDescent="0.25">
      <c r="B385" s="1"/>
      <c r="C385" s="91"/>
      <c r="F385" s="1"/>
    </row>
    <row r="386" spans="2:6" ht="15.75" customHeight="1" x14ac:dyDescent="0.25">
      <c r="B386" s="1"/>
      <c r="C386" s="91"/>
      <c r="F386" s="1"/>
    </row>
    <row r="387" spans="2:6" ht="15.75" customHeight="1" x14ac:dyDescent="0.25">
      <c r="B387" s="1"/>
      <c r="C387" s="91"/>
      <c r="F387" s="1"/>
    </row>
    <row r="388" spans="2:6" ht="15.75" customHeight="1" x14ac:dyDescent="0.25">
      <c r="B388" s="1"/>
      <c r="C388" s="91"/>
      <c r="F388" s="1"/>
    </row>
    <row r="389" spans="2:6" ht="15.75" customHeight="1" x14ac:dyDescent="0.25">
      <c r="B389" s="1"/>
      <c r="C389" s="91"/>
      <c r="F389" s="1"/>
    </row>
    <row r="390" spans="2:6" ht="15.75" customHeight="1" x14ac:dyDescent="0.25">
      <c r="B390" s="1"/>
      <c r="C390" s="91"/>
      <c r="F390" s="1"/>
    </row>
    <row r="391" spans="2:6" ht="15.75" customHeight="1" x14ac:dyDescent="0.25">
      <c r="B391" s="1"/>
      <c r="C391" s="91"/>
      <c r="F391" s="1"/>
    </row>
    <row r="392" spans="2:6" ht="15.75" customHeight="1" x14ac:dyDescent="0.25">
      <c r="B392" s="1"/>
      <c r="C392" s="91"/>
      <c r="F392" s="1"/>
    </row>
    <row r="393" spans="2:6" ht="15.75" customHeight="1" x14ac:dyDescent="0.25">
      <c r="B393" s="1"/>
      <c r="C393" s="91"/>
      <c r="F393" s="1"/>
    </row>
    <row r="394" spans="2:6" ht="15.75" customHeight="1" x14ac:dyDescent="0.25">
      <c r="B394" s="1"/>
      <c r="C394" s="91"/>
      <c r="F394" s="1"/>
    </row>
    <row r="395" spans="2:6" ht="15.75" customHeight="1" x14ac:dyDescent="0.25">
      <c r="B395" s="1"/>
      <c r="C395" s="91"/>
      <c r="F395" s="1"/>
    </row>
    <row r="396" spans="2:6" ht="15.75" customHeight="1" x14ac:dyDescent="0.25">
      <c r="B396" s="1"/>
      <c r="C396" s="91"/>
      <c r="F396" s="1"/>
    </row>
    <row r="397" spans="2:6" ht="15.75" customHeight="1" x14ac:dyDescent="0.25">
      <c r="B397" s="1"/>
      <c r="C397" s="91"/>
      <c r="F397" s="1"/>
    </row>
    <row r="398" spans="2:6" ht="15.75" customHeight="1" x14ac:dyDescent="0.25">
      <c r="B398" s="1"/>
      <c r="C398" s="91"/>
      <c r="F398" s="1"/>
    </row>
    <row r="399" spans="2:6" ht="15.75" customHeight="1" x14ac:dyDescent="0.25">
      <c r="B399" s="1"/>
      <c r="C399" s="91"/>
      <c r="F399" s="1"/>
    </row>
    <row r="400" spans="2:6" ht="15.75" customHeight="1" x14ac:dyDescent="0.25">
      <c r="B400" s="1"/>
      <c r="C400" s="91"/>
      <c r="F400" s="1"/>
    </row>
    <row r="401" spans="2:6" ht="15.75" customHeight="1" x14ac:dyDescent="0.25">
      <c r="B401" s="1"/>
      <c r="C401" s="91"/>
      <c r="F401" s="1"/>
    </row>
    <row r="402" spans="2:6" ht="15.75" customHeight="1" x14ac:dyDescent="0.25">
      <c r="B402" s="1"/>
      <c r="C402" s="91"/>
      <c r="F402" s="1"/>
    </row>
    <row r="403" spans="2:6" ht="15.75" customHeight="1" x14ac:dyDescent="0.25">
      <c r="B403" s="1"/>
      <c r="C403" s="91"/>
      <c r="F403" s="1"/>
    </row>
    <row r="404" spans="2:6" ht="15.75" customHeight="1" x14ac:dyDescent="0.25">
      <c r="B404" s="1"/>
      <c r="C404" s="91"/>
      <c r="F404" s="1"/>
    </row>
    <row r="405" spans="2:6" ht="15.75" customHeight="1" x14ac:dyDescent="0.25">
      <c r="B405" s="1"/>
      <c r="C405" s="91"/>
      <c r="F405" s="1"/>
    </row>
    <row r="406" spans="2:6" ht="15.75" customHeight="1" x14ac:dyDescent="0.25">
      <c r="B406" s="1"/>
      <c r="C406" s="91"/>
      <c r="F406" s="1"/>
    </row>
    <row r="407" spans="2:6" ht="15.75" customHeight="1" x14ac:dyDescent="0.25">
      <c r="B407" s="1"/>
      <c r="C407" s="91"/>
      <c r="F407" s="1"/>
    </row>
    <row r="408" spans="2:6" ht="15.75" customHeight="1" x14ac:dyDescent="0.25">
      <c r="B408" s="1"/>
      <c r="C408" s="91"/>
      <c r="F408" s="1"/>
    </row>
    <row r="409" spans="2:6" ht="15.75" customHeight="1" x14ac:dyDescent="0.25">
      <c r="B409" s="1"/>
      <c r="C409" s="91"/>
      <c r="F409" s="1"/>
    </row>
    <row r="410" spans="2:6" ht="15.75" customHeight="1" x14ac:dyDescent="0.25">
      <c r="B410" s="1"/>
      <c r="C410" s="91"/>
      <c r="F410" s="1"/>
    </row>
    <row r="411" spans="2:6" ht="15.75" customHeight="1" x14ac:dyDescent="0.25">
      <c r="B411" s="1"/>
      <c r="C411" s="91"/>
      <c r="F411" s="1"/>
    </row>
    <row r="412" spans="2:6" ht="15.75" customHeight="1" x14ac:dyDescent="0.25">
      <c r="B412" s="1"/>
      <c r="C412" s="91"/>
      <c r="F412" s="1"/>
    </row>
    <row r="413" spans="2:6" ht="15.75" customHeight="1" x14ac:dyDescent="0.25">
      <c r="B413" s="1"/>
      <c r="C413" s="91"/>
      <c r="F413" s="1"/>
    </row>
    <row r="414" spans="2:6" ht="15.75" customHeight="1" x14ac:dyDescent="0.25">
      <c r="B414" s="1"/>
      <c r="C414" s="91"/>
      <c r="F414" s="1"/>
    </row>
    <row r="415" spans="2:6" ht="15.75" customHeight="1" x14ac:dyDescent="0.25">
      <c r="B415" s="1"/>
      <c r="C415" s="91"/>
      <c r="F415" s="1"/>
    </row>
    <row r="416" spans="2:6" ht="15.75" customHeight="1" x14ac:dyDescent="0.25">
      <c r="B416" s="1"/>
      <c r="C416" s="91"/>
      <c r="F416" s="1"/>
    </row>
    <row r="417" spans="2:6" ht="15.75" customHeight="1" x14ac:dyDescent="0.25">
      <c r="B417" s="1"/>
      <c r="C417" s="91"/>
      <c r="F417" s="1"/>
    </row>
    <row r="418" spans="2:6" ht="15.75" customHeight="1" x14ac:dyDescent="0.25">
      <c r="B418" s="1"/>
      <c r="C418" s="91"/>
      <c r="F418" s="1"/>
    </row>
    <row r="419" spans="2:6" ht="15.75" customHeight="1" x14ac:dyDescent="0.25">
      <c r="B419" s="1"/>
      <c r="C419" s="91"/>
      <c r="F419" s="1"/>
    </row>
    <row r="420" spans="2:6" ht="15.75" customHeight="1" x14ac:dyDescent="0.25">
      <c r="B420" s="1"/>
      <c r="C420" s="91"/>
      <c r="F420" s="1"/>
    </row>
    <row r="421" spans="2:6" ht="15.75" customHeight="1" x14ac:dyDescent="0.25">
      <c r="B421" s="1"/>
      <c r="C421" s="91"/>
      <c r="F421" s="1"/>
    </row>
    <row r="422" spans="2:6" ht="15.75" customHeight="1" x14ac:dyDescent="0.25">
      <c r="B422" s="1"/>
      <c r="C422" s="91"/>
      <c r="F422" s="1"/>
    </row>
    <row r="423" spans="2:6" ht="15.75" customHeight="1" x14ac:dyDescent="0.25">
      <c r="B423" s="1"/>
      <c r="C423" s="91"/>
      <c r="F423" s="1"/>
    </row>
    <row r="424" spans="2:6" ht="15.75" customHeight="1" x14ac:dyDescent="0.25">
      <c r="B424" s="1"/>
      <c r="C424" s="91"/>
      <c r="F424" s="1"/>
    </row>
    <row r="425" spans="2:6" ht="15.75" customHeight="1" x14ac:dyDescent="0.25">
      <c r="B425" s="1"/>
      <c r="C425" s="91"/>
      <c r="F425" s="1"/>
    </row>
    <row r="426" spans="2:6" ht="15.75" customHeight="1" x14ac:dyDescent="0.25">
      <c r="B426" s="1"/>
      <c r="C426" s="91"/>
      <c r="F426" s="1"/>
    </row>
    <row r="427" spans="2:6" ht="15.75" customHeight="1" x14ac:dyDescent="0.25">
      <c r="B427" s="1"/>
      <c r="C427" s="91"/>
      <c r="F427" s="1"/>
    </row>
    <row r="428" spans="2:6" ht="15.75" customHeight="1" x14ac:dyDescent="0.25">
      <c r="B428" s="1"/>
      <c r="C428" s="91"/>
      <c r="F428" s="1"/>
    </row>
    <row r="429" spans="2:6" ht="15.75" customHeight="1" x14ac:dyDescent="0.25">
      <c r="B429" s="1"/>
      <c r="C429" s="91"/>
      <c r="F429" s="1"/>
    </row>
    <row r="430" spans="2:6" ht="15.75" customHeight="1" x14ac:dyDescent="0.25">
      <c r="B430" s="1"/>
      <c r="C430" s="91"/>
      <c r="F430" s="1"/>
    </row>
    <row r="431" spans="2:6" ht="15.75" customHeight="1" x14ac:dyDescent="0.25">
      <c r="B431" s="1"/>
      <c r="C431" s="91"/>
      <c r="F431" s="1"/>
    </row>
    <row r="432" spans="2:6" ht="15.75" customHeight="1" x14ac:dyDescent="0.25">
      <c r="B432" s="1"/>
      <c r="C432" s="91"/>
      <c r="F432" s="1"/>
    </row>
    <row r="433" spans="2:6" ht="15.75" customHeight="1" x14ac:dyDescent="0.25">
      <c r="B433" s="1"/>
      <c r="C433" s="91"/>
      <c r="F433" s="1"/>
    </row>
    <row r="434" spans="2:6" ht="15.75" customHeight="1" x14ac:dyDescent="0.25">
      <c r="B434" s="1"/>
      <c r="C434" s="91"/>
      <c r="F434" s="1"/>
    </row>
    <row r="435" spans="2:6" ht="15.75" customHeight="1" x14ac:dyDescent="0.25">
      <c r="B435" s="1"/>
      <c r="C435" s="91"/>
      <c r="F435" s="1"/>
    </row>
    <row r="436" spans="2:6" ht="15.75" customHeight="1" x14ac:dyDescent="0.25">
      <c r="B436" s="1"/>
      <c r="C436" s="91"/>
      <c r="F436" s="1"/>
    </row>
    <row r="437" spans="2:6" ht="15.75" customHeight="1" x14ac:dyDescent="0.25">
      <c r="B437" s="1"/>
      <c r="C437" s="91"/>
      <c r="F437" s="1"/>
    </row>
    <row r="438" spans="2:6" ht="15.75" customHeight="1" x14ac:dyDescent="0.25">
      <c r="B438" s="1"/>
      <c r="C438" s="91"/>
      <c r="F438" s="1"/>
    </row>
    <row r="439" spans="2:6" ht="15.75" customHeight="1" x14ac:dyDescent="0.25">
      <c r="B439" s="1"/>
      <c r="C439" s="91"/>
      <c r="F439" s="1"/>
    </row>
    <row r="440" spans="2:6" ht="15.75" customHeight="1" x14ac:dyDescent="0.25">
      <c r="B440" s="1"/>
      <c r="C440" s="91"/>
      <c r="F440" s="1"/>
    </row>
    <row r="441" spans="2:6" ht="15.75" customHeight="1" x14ac:dyDescent="0.25">
      <c r="B441" s="1"/>
      <c r="C441" s="91"/>
      <c r="F441" s="1"/>
    </row>
    <row r="442" spans="2:6" ht="15.75" customHeight="1" x14ac:dyDescent="0.25">
      <c r="B442" s="1"/>
      <c r="C442" s="91"/>
      <c r="F442" s="1"/>
    </row>
    <row r="443" spans="2:6" ht="15.75" customHeight="1" x14ac:dyDescent="0.25">
      <c r="B443" s="1"/>
      <c r="C443" s="91"/>
      <c r="F443" s="1"/>
    </row>
    <row r="444" spans="2:6" ht="15.75" customHeight="1" x14ac:dyDescent="0.25">
      <c r="B444" s="1"/>
      <c r="C444" s="91"/>
      <c r="F444" s="1"/>
    </row>
    <row r="445" spans="2:6" ht="15.75" customHeight="1" x14ac:dyDescent="0.25">
      <c r="B445" s="1"/>
      <c r="C445" s="91"/>
      <c r="F445" s="1"/>
    </row>
    <row r="446" spans="2:6" ht="15.75" customHeight="1" x14ac:dyDescent="0.25">
      <c r="B446" s="1"/>
      <c r="C446" s="91"/>
      <c r="F446" s="1"/>
    </row>
    <row r="447" spans="2:6" ht="15.75" customHeight="1" x14ac:dyDescent="0.25">
      <c r="B447" s="1"/>
      <c r="C447" s="91"/>
      <c r="F447" s="1"/>
    </row>
    <row r="448" spans="2:6" ht="15.75" customHeight="1" x14ac:dyDescent="0.25">
      <c r="B448" s="1"/>
      <c r="C448" s="91"/>
      <c r="F448" s="1"/>
    </row>
    <row r="449" spans="2:6" ht="15.75" customHeight="1" x14ac:dyDescent="0.25">
      <c r="B449" s="1"/>
      <c r="C449" s="91"/>
      <c r="F449" s="1"/>
    </row>
    <row r="450" spans="2:6" ht="15.75" customHeight="1" x14ac:dyDescent="0.25">
      <c r="B450" s="1"/>
      <c r="C450" s="91"/>
      <c r="F450" s="1"/>
    </row>
    <row r="451" spans="2:6" ht="15.75" customHeight="1" x14ac:dyDescent="0.25">
      <c r="B451" s="1"/>
      <c r="C451" s="91"/>
      <c r="F451" s="1"/>
    </row>
    <row r="452" spans="2:6" ht="15.75" customHeight="1" x14ac:dyDescent="0.25">
      <c r="B452" s="1"/>
      <c r="C452" s="91"/>
      <c r="F452" s="1"/>
    </row>
    <row r="453" spans="2:6" ht="15.75" customHeight="1" x14ac:dyDescent="0.25">
      <c r="B453" s="1"/>
      <c r="C453" s="91"/>
      <c r="F453" s="1"/>
    </row>
    <row r="454" spans="2:6" ht="15.75" customHeight="1" x14ac:dyDescent="0.25">
      <c r="B454" s="1"/>
      <c r="C454" s="91"/>
      <c r="F454" s="1"/>
    </row>
    <row r="455" spans="2:6" ht="15.75" customHeight="1" x14ac:dyDescent="0.25">
      <c r="B455" s="1"/>
      <c r="C455" s="91"/>
      <c r="F455" s="1"/>
    </row>
    <row r="456" spans="2:6" ht="15.75" customHeight="1" x14ac:dyDescent="0.25">
      <c r="B456" s="1"/>
      <c r="C456" s="91"/>
      <c r="F456" s="1"/>
    </row>
    <row r="457" spans="2:6" ht="15.75" customHeight="1" x14ac:dyDescent="0.25">
      <c r="B457" s="1"/>
      <c r="C457" s="91"/>
      <c r="F457" s="1"/>
    </row>
    <row r="458" spans="2:6" ht="15.75" customHeight="1" x14ac:dyDescent="0.25">
      <c r="B458" s="1"/>
      <c r="C458" s="91"/>
      <c r="F458" s="1"/>
    </row>
    <row r="459" spans="2:6" ht="15.75" customHeight="1" x14ac:dyDescent="0.25">
      <c r="B459" s="1"/>
      <c r="C459" s="91"/>
      <c r="F459" s="1"/>
    </row>
    <row r="460" spans="2:6" ht="15.75" customHeight="1" x14ac:dyDescent="0.25">
      <c r="B460" s="1"/>
      <c r="C460" s="91"/>
      <c r="F460" s="1"/>
    </row>
    <row r="461" spans="2:6" ht="15.75" customHeight="1" x14ac:dyDescent="0.25">
      <c r="B461" s="1"/>
      <c r="C461" s="91"/>
      <c r="F461" s="1"/>
    </row>
    <row r="462" spans="2:6" ht="15.75" customHeight="1" x14ac:dyDescent="0.25">
      <c r="B462" s="1"/>
      <c r="C462" s="91"/>
      <c r="F462" s="1"/>
    </row>
    <row r="463" spans="2:6" ht="15.75" customHeight="1" x14ac:dyDescent="0.25">
      <c r="B463" s="1"/>
      <c r="C463" s="91"/>
      <c r="F463" s="1"/>
    </row>
    <row r="464" spans="2:6" ht="15.75" customHeight="1" x14ac:dyDescent="0.25">
      <c r="B464" s="1"/>
      <c r="C464" s="91"/>
      <c r="F464" s="1"/>
    </row>
    <row r="465" spans="2:6" ht="15.75" customHeight="1" x14ac:dyDescent="0.25">
      <c r="B465" s="1"/>
      <c r="C465" s="91"/>
      <c r="F465" s="1"/>
    </row>
    <row r="466" spans="2:6" ht="15.75" customHeight="1" x14ac:dyDescent="0.25">
      <c r="B466" s="1"/>
      <c r="C466" s="91"/>
      <c r="F466" s="1"/>
    </row>
    <row r="467" spans="2:6" ht="15.75" customHeight="1" x14ac:dyDescent="0.25">
      <c r="B467" s="1"/>
      <c r="C467" s="91"/>
      <c r="F467" s="1"/>
    </row>
    <row r="468" spans="2:6" ht="15.75" customHeight="1" x14ac:dyDescent="0.25">
      <c r="B468" s="1"/>
      <c r="C468" s="91"/>
      <c r="F468" s="1"/>
    </row>
    <row r="469" spans="2:6" ht="15.75" customHeight="1" x14ac:dyDescent="0.25">
      <c r="B469" s="1"/>
      <c r="C469" s="91"/>
      <c r="F469" s="1"/>
    </row>
    <row r="470" spans="2:6" ht="15.75" customHeight="1" x14ac:dyDescent="0.25">
      <c r="B470" s="1"/>
      <c r="C470" s="91"/>
      <c r="F470" s="1"/>
    </row>
    <row r="471" spans="2:6" ht="15.75" customHeight="1" x14ac:dyDescent="0.25">
      <c r="B471" s="1"/>
      <c r="C471" s="91"/>
      <c r="F471" s="1"/>
    </row>
    <row r="472" spans="2:6" ht="15.75" customHeight="1" x14ac:dyDescent="0.25">
      <c r="B472" s="1"/>
      <c r="C472" s="91"/>
      <c r="F472" s="1"/>
    </row>
    <row r="473" spans="2:6" ht="15.75" customHeight="1" x14ac:dyDescent="0.25">
      <c r="B473" s="1"/>
      <c r="C473" s="91"/>
      <c r="F473" s="1"/>
    </row>
    <row r="474" spans="2:6" ht="15.75" customHeight="1" x14ac:dyDescent="0.25">
      <c r="B474" s="1"/>
      <c r="C474" s="91"/>
      <c r="F474" s="1"/>
    </row>
    <row r="475" spans="2:6" ht="15.75" customHeight="1" x14ac:dyDescent="0.25">
      <c r="B475" s="1"/>
      <c r="C475" s="91"/>
      <c r="F475" s="1"/>
    </row>
    <row r="476" spans="2:6" ht="15.75" customHeight="1" x14ac:dyDescent="0.25">
      <c r="B476" s="1"/>
      <c r="C476" s="91"/>
      <c r="F476" s="1"/>
    </row>
    <row r="477" spans="2:6" ht="15.75" customHeight="1" x14ac:dyDescent="0.25">
      <c r="B477" s="1"/>
      <c r="C477" s="91"/>
      <c r="F477" s="1"/>
    </row>
    <row r="478" spans="2:6" ht="15.75" customHeight="1" x14ac:dyDescent="0.25">
      <c r="B478" s="1"/>
      <c r="C478" s="91"/>
      <c r="F478" s="1"/>
    </row>
    <row r="479" spans="2:6" ht="15.75" customHeight="1" x14ac:dyDescent="0.25">
      <c r="B479" s="1"/>
      <c r="C479" s="91"/>
      <c r="F479" s="1"/>
    </row>
    <row r="480" spans="2:6" ht="15.75" customHeight="1" x14ac:dyDescent="0.25">
      <c r="B480" s="1"/>
      <c r="C480" s="91"/>
      <c r="F480" s="1"/>
    </row>
    <row r="481" spans="2:6" ht="15.75" customHeight="1" x14ac:dyDescent="0.25">
      <c r="B481" s="1"/>
      <c r="C481" s="91"/>
      <c r="F481" s="1"/>
    </row>
    <row r="482" spans="2:6" ht="15.75" customHeight="1" x14ac:dyDescent="0.25">
      <c r="B482" s="1"/>
      <c r="C482" s="91"/>
      <c r="F482" s="1"/>
    </row>
    <row r="483" spans="2:6" ht="15.75" customHeight="1" x14ac:dyDescent="0.25">
      <c r="B483" s="1"/>
      <c r="C483" s="91"/>
      <c r="F483" s="1"/>
    </row>
    <row r="484" spans="2:6" ht="15.75" customHeight="1" x14ac:dyDescent="0.25">
      <c r="B484" s="1"/>
      <c r="C484" s="91"/>
      <c r="F484" s="1"/>
    </row>
    <row r="485" spans="2:6" ht="15.75" customHeight="1" x14ac:dyDescent="0.25">
      <c r="B485" s="1"/>
      <c r="C485" s="91"/>
      <c r="F485" s="1"/>
    </row>
    <row r="486" spans="2:6" ht="15.75" customHeight="1" x14ac:dyDescent="0.25">
      <c r="B486" s="1"/>
      <c r="C486" s="91"/>
      <c r="F486" s="1"/>
    </row>
    <row r="487" spans="2:6" ht="15.75" customHeight="1" x14ac:dyDescent="0.25">
      <c r="B487" s="1"/>
      <c r="C487" s="91"/>
      <c r="F487" s="1"/>
    </row>
    <row r="488" spans="2:6" ht="15.75" customHeight="1" x14ac:dyDescent="0.25">
      <c r="B488" s="1"/>
      <c r="C488" s="91"/>
      <c r="F488" s="1"/>
    </row>
    <row r="489" spans="2:6" ht="15.75" customHeight="1" x14ac:dyDescent="0.25">
      <c r="B489" s="1"/>
      <c r="C489" s="91"/>
      <c r="F489" s="1"/>
    </row>
    <row r="490" spans="2:6" ht="15.75" customHeight="1" x14ac:dyDescent="0.25">
      <c r="B490" s="1"/>
      <c r="C490" s="91"/>
      <c r="F490" s="1"/>
    </row>
    <row r="491" spans="2:6" ht="15.75" customHeight="1" x14ac:dyDescent="0.25">
      <c r="B491" s="1"/>
      <c r="C491" s="91"/>
      <c r="F491" s="1"/>
    </row>
    <row r="492" spans="2:6" ht="15.75" customHeight="1" x14ac:dyDescent="0.25">
      <c r="B492" s="1"/>
      <c r="C492" s="91"/>
      <c r="F492" s="1"/>
    </row>
    <row r="493" spans="2:6" ht="15.75" customHeight="1" x14ac:dyDescent="0.25">
      <c r="B493" s="1"/>
      <c r="C493" s="91"/>
      <c r="F493" s="1"/>
    </row>
    <row r="494" spans="2:6" ht="15.75" customHeight="1" x14ac:dyDescent="0.25">
      <c r="B494" s="1"/>
      <c r="C494" s="91"/>
      <c r="F494" s="1"/>
    </row>
    <row r="495" spans="2:6" ht="15.75" customHeight="1" x14ac:dyDescent="0.25">
      <c r="B495" s="1"/>
      <c r="C495" s="91"/>
      <c r="F495" s="1"/>
    </row>
    <row r="496" spans="2:6" ht="15.75" customHeight="1" x14ac:dyDescent="0.25">
      <c r="B496" s="1"/>
      <c r="C496" s="91"/>
      <c r="F496" s="1"/>
    </row>
    <row r="497" spans="2:6" ht="15.75" customHeight="1" x14ac:dyDescent="0.25">
      <c r="B497" s="1"/>
      <c r="C497" s="91"/>
      <c r="F497" s="1"/>
    </row>
    <row r="498" spans="2:6" ht="15.75" customHeight="1" x14ac:dyDescent="0.25">
      <c r="B498" s="1"/>
      <c r="C498" s="91"/>
      <c r="F498" s="1"/>
    </row>
    <row r="499" spans="2:6" ht="15.75" customHeight="1" x14ac:dyDescent="0.25">
      <c r="B499" s="1"/>
      <c r="C499" s="91"/>
      <c r="F499" s="1"/>
    </row>
    <row r="500" spans="2:6" ht="15.75" customHeight="1" x14ac:dyDescent="0.25">
      <c r="B500" s="1"/>
      <c r="C500" s="91"/>
      <c r="F500" s="1"/>
    </row>
    <row r="501" spans="2:6" ht="15.75" customHeight="1" x14ac:dyDescent="0.25">
      <c r="B501" s="1"/>
      <c r="C501" s="91"/>
      <c r="F501" s="1"/>
    </row>
    <row r="502" spans="2:6" ht="15.75" customHeight="1" x14ac:dyDescent="0.25">
      <c r="B502" s="1"/>
      <c r="C502" s="91"/>
      <c r="F502" s="1"/>
    </row>
    <row r="503" spans="2:6" ht="15.75" customHeight="1" x14ac:dyDescent="0.25">
      <c r="B503" s="1"/>
      <c r="C503" s="91"/>
      <c r="F503" s="1"/>
    </row>
    <row r="504" spans="2:6" ht="15.75" customHeight="1" x14ac:dyDescent="0.25">
      <c r="B504" s="1"/>
      <c r="C504" s="91"/>
      <c r="F504" s="1"/>
    </row>
    <row r="505" spans="2:6" ht="15.75" customHeight="1" x14ac:dyDescent="0.25">
      <c r="B505" s="1"/>
      <c r="C505" s="91"/>
      <c r="F505" s="1"/>
    </row>
    <row r="506" spans="2:6" ht="15.75" customHeight="1" x14ac:dyDescent="0.25">
      <c r="B506" s="1"/>
      <c r="C506" s="91"/>
      <c r="F506" s="1"/>
    </row>
    <row r="507" spans="2:6" ht="15.75" customHeight="1" x14ac:dyDescent="0.25">
      <c r="B507" s="1"/>
      <c r="C507" s="91"/>
      <c r="F507" s="1"/>
    </row>
    <row r="508" spans="2:6" ht="15.75" customHeight="1" x14ac:dyDescent="0.25">
      <c r="B508" s="1"/>
      <c r="C508" s="91"/>
      <c r="F508" s="1"/>
    </row>
    <row r="509" spans="2:6" ht="15.75" customHeight="1" x14ac:dyDescent="0.25">
      <c r="B509" s="1"/>
      <c r="C509" s="91"/>
      <c r="F509" s="1"/>
    </row>
    <row r="510" spans="2:6" ht="15.75" customHeight="1" x14ac:dyDescent="0.25">
      <c r="B510" s="1"/>
      <c r="C510" s="91"/>
      <c r="F510" s="1"/>
    </row>
    <row r="511" spans="2:6" ht="15.75" customHeight="1" x14ac:dyDescent="0.25">
      <c r="B511" s="1"/>
      <c r="C511" s="91"/>
      <c r="F511" s="1"/>
    </row>
    <row r="512" spans="2:6" ht="15.75" customHeight="1" x14ac:dyDescent="0.25">
      <c r="B512" s="1"/>
      <c r="C512" s="91"/>
      <c r="F512" s="1"/>
    </row>
    <row r="513" spans="2:6" ht="15.75" customHeight="1" x14ac:dyDescent="0.25">
      <c r="B513" s="1"/>
      <c r="C513" s="91"/>
      <c r="F513" s="1"/>
    </row>
    <row r="514" spans="2:6" ht="15.75" customHeight="1" x14ac:dyDescent="0.25">
      <c r="B514" s="1"/>
      <c r="C514" s="91"/>
      <c r="F514" s="1"/>
    </row>
    <row r="515" spans="2:6" ht="15.75" customHeight="1" x14ac:dyDescent="0.25">
      <c r="B515" s="1"/>
      <c r="C515" s="91"/>
      <c r="F515" s="1"/>
    </row>
    <row r="516" spans="2:6" ht="15.75" customHeight="1" x14ac:dyDescent="0.25">
      <c r="B516" s="1"/>
      <c r="C516" s="91"/>
      <c r="F516" s="1"/>
    </row>
    <row r="517" spans="2:6" ht="15.75" customHeight="1" x14ac:dyDescent="0.25">
      <c r="B517" s="1"/>
      <c r="C517" s="91"/>
      <c r="F517" s="1"/>
    </row>
    <row r="518" spans="2:6" ht="15.75" customHeight="1" x14ac:dyDescent="0.25">
      <c r="B518" s="1"/>
      <c r="C518" s="91"/>
      <c r="F518" s="1"/>
    </row>
    <row r="519" spans="2:6" ht="15.75" customHeight="1" x14ac:dyDescent="0.25">
      <c r="B519" s="1"/>
      <c r="C519" s="91"/>
      <c r="F519" s="1"/>
    </row>
    <row r="520" spans="2:6" ht="15.75" customHeight="1" x14ac:dyDescent="0.25">
      <c r="B520" s="1"/>
      <c r="C520" s="91"/>
      <c r="F520" s="1"/>
    </row>
    <row r="521" spans="2:6" ht="15.75" customHeight="1" x14ac:dyDescent="0.25">
      <c r="B521" s="1"/>
      <c r="C521" s="91"/>
      <c r="F521" s="1"/>
    </row>
    <row r="522" spans="2:6" ht="15.75" customHeight="1" x14ac:dyDescent="0.25">
      <c r="B522" s="1"/>
      <c r="C522" s="91"/>
      <c r="F522" s="1"/>
    </row>
    <row r="523" spans="2:6" ht="15.75" customHeight="1" x14ac:dyDescent="0.25">
      <c r="B523" s="1"/>
      <c r="C523" s="91"/>
      <c r="F523" s="1"/>
    </row>
    <row r="524" spans="2:6" ht="15.75" customHeight="1" x14ac:dyDescent="0.25">
      <c r="B524" s="1"/>
      <c r="C524" s="91"/>
      <c r="F524" s="1"/>
    </row>
    <row r="525" spans="2:6" ht="15.75" customHeight="1" x14ac:dyDescent="0.25">
      <c r="B525" s="1"/>
      <c r="C525" s="91"/>
      <c r="F525" s="1"/>
    </row>
    <row r="526" spans="2:6" ht="15.75" customHeight="1" x14ac:dyDescent="0.25">
      <c r="B526" s="1"/>
      <c r="C526" s="91"/>
      <c r="F526" s="1"/>
    </row>
    <row r="527" spans="2:6" ht="15.75" customHeight="1" x14ac:dyDescent="0.25">
      <c r="B527" s="1"/>
      <c r="C527" s="91"/>
      <c r="F527" s="1"/>
    </row>
    <row r="528" spans="2:6" ht="15.75" customHeight="1" x14ac:dyDescent="0.25">
      <c r="B528" s="1"/>
      <c r="C528" s="91"/>
      <c r="F528" s="1"/>
    </row>
    <row r="529" spans="2:6" ht="15.75" customHeight="1" x14ac:dyDescent="0.25">
      <c r="B529" s="1"/>
      <c r="C529" s="91"/>
      <c r="F529" s="1"/>
    </row>
    <row r="530" spans="2:6" ht="15.75" customHeight="1" x14ac:dyDescent="0.25">
      <c r="B530" s="1"/>
      <c r="C530" s="91"/>
      <c r="F530" s="1"/>
    </row>
    <row r="531" spans="2:6" ht="15.75" customHeight="1" x14ac:dyDescent="0.25">
      <c r="B531" s="1"/>
      <c r="C531" s="91"/>
      <c r="F531" s="1"/>
    </row>
    <row r="532" spans="2:6" ht="15.75" customHeight="1" x14ac:dyDescent="0.25">
      <c r="B532" s="1"/>
      <c r="C532" s="91"/>
      <c r="F532" s="1"/>
    </row>
    <row r="533" spans="2:6" ht="15.75" customHeight="1" x14ac:dyDescent="0.25">
      <c r="B533" s="1"/>
      <c r="C533" s="91"/>
      <c r="F533" s="1"/>
    </row>
    <row r="534" spans="2:6" ht="15.75" customHeight="1" x14ac:dyDescent="0.25">
      <c r="B534" s="1"/>
      <c r="C534" s="91"/>
      <c r="F534" s="1"/>
    </row>
    <row r="535" spans="2:6" ht="15.75" customHeight="1" x14ac:dyDescent="0.25">
      <c r="B535" s="1"/>
      <c r="C535" s="91"/>
      <c r="F535" s="1"/>
    </row>
    <row r="536" spans="2:6" ht="15.75" customHeight="1" x14ac:dyDescent="0.25">
      <c r="B536" s="1"/>
      <c r="C536" s="91"/>
      <c r="F536" s="1"/>
    </row>
    <row r="537" spans="2:6" ht="15.75" customHeight="1" x14ac:dyDescent="0.25">
      <c r="B537" s="1"/>
      <c r="C537" s="91"/>
      <c r="F537" s="1"/>
    </row>
    <row r="538" spans="2:6" ht="15.75" customHeight="1" x14ac:dyDescent="0.25">
      <c r="B538" s="1"/>
      <c r="C538" s="91"/>
      <c r="F538" s="1"/>
    </row>
    <row r="539" spans="2:6" ht="15.75" customHeight="1" x14ac:dyDescent="0.25">
      <c r="B539" s="1"/>
      <c r="C539" s="91"/>
      <c r="F539" s="1"/>
    </row>
    <row r="540" spans="2:6" ht="15.75" customHeight="1" x14ac:dyDescent="0.25">
      <c r="B540" s="1"/>
      <c r="C540" s="91"/>
      <c r="F540" s="1"/>
    </row>
    <row r="541" spans="2:6" ht="15.75" customHeight="1" x14ac:dyDescent="0.25">
      <c r="B541" s="1"/>
      <c r="C541" s="91"/>
      <c r="F541" s="1"/>
    </row>
    <row r="542" spans="2:6" ht="15.75" customHeight="1" x14ac:dyDescent="0.25">
      <c r="B542" s="1"/>
      <c r="C542" s="91"/>
      <c r="F542" s="1"/>
    </row>
    <row r="543" spans="2:6" ht="15.75" customHeight="1" x14ac:dyDescent="0.25">
      <c r="B543" s="1"/>
      <c r="C543" s="91"/>
      <c r="F543" s="1"/>
    </row>
    <row r="544" spans="2:6" ht="15.75" customHeight="1" x14ac:dyDescent="0.25">
      <c r="B544" s="1"/>
      <c r="C544" s="91"/>
      <c r="F544" s="1"/>
    </row>
    <row r="545" spans="2:6" ht="15.75" customHeight="1" x14ac:dyDescent="0.25">
      <c r="B545" s="1"/>
      <c r="C545" s="91"/>
      <c r="F545" s="1"/>
    </row>
    <row r="546" spans="2:6" ht="15.75" customHeight="1" x14ac:dyDescent="0.25">
      <c r="B546" s="1"/>
      <c r="C546" s="91"/>
      <c r="F546" s="1"/>
    </row>
    <row r="547" spans="2:6" ht="15.75" customHeight="1" x14ac:dyDescent="0.25">
      <c r="B547" s="1"/>
      <c r="C547" s="91"/>
      <c r="F547" s="1"/>
    </row>
    <row r="548" spans="2:6" ht="15.75" customHeight="1" x14ac:dyDescent="0.25">
      <c r="B548" s="1"/>
      <c r="C548" s="91"/>
      <c r="F548" s="1"/>
    </row>
    <row r="549" spans="2:6" ht="15.75" customHeight="1" x14ac:dyDescent="0.25">
      <c r="B549" s="1"/>
      <c r="C549" s="91"/>
      <c r="F549" s="1"/>
    </row>
    <row r="550" spans="2:6" ht="15.75" customHeight="1" x14ac:dyDescent="0.25">
      <c r="B550" s="1"/>
      <c r="C550" s="91"/>
      <c r="F550" s="1"/>
    </row>
    <row r="551" spans="2:6" ht="15.75" customHeight="1" x14ac:dyDescent="0.25">
      <c r="B551" s="1"/>
      <c r="C551" s="91"/>
      <c r="F551" s="1"/>
    </row>
    <row r="552" spans="2:6" ht="15.75" customHeight="1" x14ac:dyDescent="0.25">
      <c r="B552" s="1"/>
      <c r="C552" s="91"/>
      <c r="F552" s="1"/>
    </row>
    <row r="553" spans="2:6" ht="15.75" customHeight="1" x14ac:dyDescent="0.25">
      <c r="B553" s="1"/>
      <c r="C553" s="91"/>
      <c r="F553" s="1"/>
    </row>
    <row r="554" spans="2:6" ht="15.75" customHeight="1" x14ac:dyDescent="0.25">
      <c r="B554" s="1"/>
      <c r="C554" s="91"/>
      <c r="F554" s="1"/>
    </row>
    <row r="555" spans="2:6" ht="15.75" customHeight="1" x14ac:dyDescent="0.25">
      <c r="B555" s="1"/>
      <c r="C555" s="91"/>
      <c r="F555" s="1"/>
    </row>
    <row r="556" spans="2:6" ht="15.75" customHeight="1" x14ac:dyDescent="0.25">
      <c r="B556" s="1"/>
      <c r="C556" s="91"/>
      <c r="F556" s="1"/>
    </row>
    <row r="557" spans="2:6" ht="15.75" customHeight="1" x14ac:dyDescent="0.25">
      <c r="B557" s="1"/>
      <c r="C557" s="91"/>
      <c r="F557" s="1"/>
    </row>
    <row r="558" spans="2:6" ht="15.75" customHeight="1" x14ac:dyDescent="0.25">
      <c r="B558" s="1"/>
      <c r="C558" s="91"/>
      <c r="F558" s="1"/>
    </row>
    <row r="559" spans="2:6" ht="15.75" customHeight="1" x14ac:dyDescent="0.25">
      <c r="B559" s="1"/>
      <c r="C559" s="91"/>
      <c r="F559" s="1"/>
    </row>
    <row r="560" spans="2:6" ht="15.75" customHeight="1" x14ac:dyDescent="0.25">
      <c r="B560" s="1"/>
      <c r="C560" s="91"/>
      <c r="F560" s="1"/>
    </row>
    <row r="561" spans="2:6" ht="15.75" customHeight="1" x14ac:dyDescent="0.25">
      <c r="B561" s="1"/>
      <c r="C561" s="91"/>
      <c r="F561" s="1"/>
    </row>
    <row r="562" spans="2:6" ht="15.75" customHeight="1" x14ac:dyDescent="0.25">
      <c r="B562" s="1"/>
      <c r="C562" s="91"/>
      <c r="F562" s="1"/>
    </row>
    <row r="563" spans="2:6" ht="15.75" customHeight="1" x14ac:dyDescent="0.25">
      <c r="B563" s="1"/>
      <c r="C563" s="91"/>
      <c r="F563" s="1"/>
    </row>
    <row r="564" spans="2:6" ht="15.75" customHeight="1" x14ac:dyDescent="0.25">
      <c r="B564" s="1"/>
      <c r="C564" s="91"/>
      <c r="F564" s="1"/>
    </row>
    <row r="565" spans="2:6" ht="15.75" customHeight="1" x14ac:dyDescent="0.25">
      <c r="B565" s="1"/>
      <c r="C565" s="91"/>
      <c r="F565" s="1"/>
    </row>
    <row r="566" spans="2:6" ht="15.75" customHeight="1" x14ac:dyDescent="0.25">
      <c r="B566" s="1"/>
      <c r="C566" s="91"/>
      <c r="F566" s="1"/>
    </row>
    <row r="567" spans="2:6" ht="15.75" customHeight="1" x14ac:dyDescent="0.25">
      <c r="B567" s="1"/>
      <c r="C567" s="91"/>
      <c r="F567" s="1"/>
    </row>
    <row r="568" spans="2:6" ht="15.75" customHeight="1" x14ac:dyDescent="0.25">
      <c r="B568" s="1"/>
      <c r="C568" s="91"/>
      <c r="F568" s="1"/>
    </row>
    <row r="569" spans="2:6" ht="15.75" customHeight="1" x14ac:dyDescent="0.25">
      <c r="B569" s="1"/>
      <c r="C569" s="91"/>
      <c r="F569" s="1"/>
    </row>
    <row r="570" spans="2:6" ht="15.75" customHeight="1" x14ac:dyDescent="0.25">
      <c r="B570" s="1"/>
      <c r="C570" s="91"/>
      <c r="F570" s="1"/>
    </row>
    <row r="571" spans="2:6" ht="15.75" customHeight="1" x14ac:dyDescent="0.25">
      <c r="B571" s="1"/>
      <c r="C571" s="91"/>
      <c r="F571" s="1"/>
    </row>
    <row r="572" spans="2:6" ht="15.75" customHeight="1" x14ac:dyDescent="0.25">
      <c r="B572" s="1"/>
      <c r="C572" s="91"/>
      <c r="F572" s="1"/>
    </row>
    <row r="573" spans="2:6" ht="15.75" customHeight="1" x14ac:dyDescent="0.25">
      <c r="B573" s="1"/>
      <c r="C573" s="91"/>
      <c r="F573" s="1"/>
    </row>
    <row r="574" spans="2:6" ht="15.75" customHeight="1" x14ac:dyDescent="0.25">
      <c r="B574" s="1"/>
      <c r="C574" s="91"/>
      <c r="F574" s="1"/>
    </row>
    <row r="575" spans="2:6" ht="15.75" customHeight="1" x14ac:dyDescent="0.25">
      <c r="B575" s="1"/>
      <c r="C575" s="91"/>
      <c r="F575" s="1"/>
    </row>
    <row r="576" spans="2:6" ht="15.75" customHeight="1" x14ac:dyDescent="0.25">
      <c r="B576" s="1"/>
      <c r="C576" s="91"/>
      <c r="F576" s="1"/>
    </row>
    <row r="577" spans="2:6" ht="15.75" customHeight="1" x14ac:dyDescent="0.25">
      <c r="B577" s="1"/>
      <c r="C577" s="91"/>
      <c r="F577" s="1"/>
    </row>
    <row r="578" spans="2:6" ht="15.75" customHeight="1" x14ac:dyDescent="0.25">
      <c r="B578" s="1"/>
      <c r="C578" s="91"/>
      <c r="F578" s="1"/>
    </row>
    <row r="579" spans="2:6" ht="15.75" customHeight="1" x14ac:dyDescent="0.25">
      <c r="B579" s="1"/>
      <c r="C579" s="91"/>
      <c r="F579" s="1"/>
    </row>
    <row r="580" spans="2:6" ht="15.75" customHeight="1" x14ac:dyDescent="0.25">
      <c r="B580" s="1"/>
      <c r="C580" s="91"/>
      <c r="F580" s="1"/>
    </row>
    <row r="581" spans="2:6" ht="15.75" customHeight="1" x14ac:dyDescent="0.25">
      <c r="B581" s="1"/>
      <c r="C581" s="91"/>
      <c r="F581" s="1"/>
    </row>
    <row r="582" spans="2:6" ht="15.75" customHeight="1" x14ac:dyDescent="0.25">
      <c r="B582" s="1"/>
      <c r="C582" s="91"/>
      <c r="F582" s="1"/>
    </row>
    <row r="583" spans="2:6" ht="15.75" customHeight="1" x14ac:dyDescent="0.25">
      <c r="B583" s="1"/>
      <c r="C583" s="91"/>
      <c r="F583" s="1"/>
    </row>
    <row r="584" spans="2:6" ht="15.75" customHeight="1" x14ac:dyDescent="0.25">
      <c r="B584" s="1"/>
      <c r="C584" s="91"/>
      <c r="F584" s="1"/>
    </row>
    <row r="585" spans="2:6" ht="15.75" customHeight="1" x14ac:dyDescent="0.25">
      <c r="B585" s="1"/>
      <c r="C585" s="91"/>
      <c r="F585" s="1"/>
    </row>
    <row r="586" spans="2:6" ht="15.75" customHeight="1" x14ac:dyDescent="0.25">
      <c r="B586" s="1"/>
      <c r="C586" s="91"/>
      <c r="F586" s="1"/>
    </row>
    <row r="587" spans="2:6" ht="15.75" customHeight="1" x14ac:dyDescent="0.25">
      <c r="B587" s="1"/>
      <c r="C587" s="91"/>
      <c r="F587" s="1"/>
    </row>
    <row r="588" spans="2:6" ht="15.75" customHeight="1" x14ac:dyDescent="0.25">
      <c r="B588" s="1"/>
      <c r="C588" s="91"/>
      <c r="F588" s="1"/>
    </row>
    <row r="589" spans="2:6" ht="15.75" customHeight="1" x14ac:dyDescent="0.25">
      <c r="B589" s="1"/>
      <c r="C589" s="91"/>
      <c r="F589" s="1"/>
    </row>
    <row r="590" spans="2:6" ht="15.75" customHeight="1" x14ac:dyDescent="0.25">
      <c r="B590" s="1"/>
      <c r="C590" s="91"/>
      <c r="F590" s="1"/>
    </row>
    <row r="591" spans="2:6" ht="15.75" customHeight="1" x14ac:dyDescent="0.25">
      <c r="B591" s="1"/>
      <c r="C591" s="91"/>
      <c r="F591" s="1"/>
    </row>
    <row r="592" spans="2:6" ht="15.75" customHeight="1" x14ac:dyDescent="0.25">
      <c r="B592" s="1"/>
      <c r="C592" s="91"/>
      <c r="F592" s="1"/>
    </row>
    <row r="593" spans="2:6" ht="15.75" customHeight="1" x14ac:dyDescent="0.25">
      <c r="B593" s="1"/>
      <c r="C593" s="91"/>
      <c r="F593" s="1"/>
    </row>
    <row r="594" spans="2:6" ht="15.75" customHeight="1" x14ac:dyDescent="0.25">
      <c r="B594" s="1"/>
      <c r="C594" s="91"/>
      <c r="F594" s="1"/>
    </row>
    <row r="595" spans="2:6" ht="15.75" customHeight="1" x14ac:dyDescent="0.25">
      <c r="B595" s="1"/>
      <c r="C595" s="91"/>
      <c r="F595" s="1"/>
    </row>
    <row r="596" spans="2:6" ht="15.75" customHeight="1" x14ac:dyDescent="0.25">
      <c r="B596" s="1"/>
      <c r="C596" s="91"/>
      <c r="F596" s="1"/>
    </row>
    <row r="597" spans="2:6" ht="15.75" customHeight="1" x14ac:dyDescent="0.25">
      <c r="B597" s="1"/>
      <c r="C597" s="91"/>
      <c r="F597" s="1"/>
    </row>
    <row r="598" spans="2:6" ht="15.75" customHeight="1" x14ac:dyDescent="0.25">
      <c r="B598" s="1"/>
      <c r="C598" s="91"/>
      <c r="F598" s="1"/>
    </row>
    <row r="599" spans="2:6" ht="15.75" customHeight="1" x14ac:dyDescent="0.25">
      <c r="B599" s="1"/>
      <c r="C599" s="91"/>
      <c r="F599" s="1"/>
    </row>
    <row r="600" spans="2:6" ht="15.75" customHeight="1" x14ac:dyDescent="0.25">
      <c r="B600" s="1"/>
      <c r="C600" s="91"/>
      <c r="F600" s="1"/>
    </row>
    <row r="601" spans="2:6" ht="15.75" customHeight="1" x14ac:dyDescent="0.25">
      <c r="B601" s="1"/>
      <c r="C601" s="91"/>
      <c r="F601" s="1"/>
    </row>
    <row r="602" spans="2:6" ht="15.75" customHeight="1" x14ac:dyDescent="0.25">
      <c r="B602" s="1"/>
      <c r="C602" s="91"/>
      <c r="F602" s="1"/>
    </row>
    <row r="603" spans="2:6" ht="15.75" customHeight="1" x14ac:dyDescent="0.25">
      <c r="B603" s="1"/>
      <c r="C603" s="91"/>
      <c r="F603" s="1"/>
    </row>
    <row r="604" spans="2:6" ht="15.75" customHeight="1" x14ac:dyDescent="0.25">
      <c r="B604" s="1"/>
      <c r="C604" s="91"/>
      <c r="F604" s="1"/>
    </row>
    <row r="605" spans="2:6" ht="15.75" customHeight="1" x14ac:dyDescent="0.25">
      <c r="B605" s="1"/>
      <c r="C605" s="91"/>
      <c r="F605" s="1"/>
    </row>
    <row r="606" spans="2:6" ht="15.75" customHeight="1" x14ac:dyDescent="0.25">
      <c r="B606" s="1"/>
      <c r="C606" s="91"/>
      <c r="F606" s="1"/>
    </row>
    <row r="607" spans="2:6" ht="15.75" customHeight="1" x14ac:dyDescent="0.25">
      <c r="B607" s="1"/>
      <c r="C607" s="91"/>
      <c r="F607" s="1"/>
    </row>
    <row r="608" spans="2:6" ht="15.75" customHeight="1" x14ac:dyDescent="0.25">
      <c r="B608" s="1"/>
      <c r="C608" s="91"/>
      <c r="F608" s="1"/>
    </row>
    <row r="609" spans="2:6" ht="15.75" customHeight="1" x14ac:dyDescent="0.25">
      <c r="B609" s="1"/>
      <c r="C609" s="91"/>
      <c r="F609" s="1"/>
    </row>
    <row r="610" spans="2:6" ht="15.75" customHeight="1" x14ac:dyDescent="0.25">
      <c r="B610" s="1"/>
      <c r="C610" s="91"/>
      <c r="F610" s="1"/>
    </row>
    <row r="611" spans="2:6" ht="15.75" customHeight="1" x14ac:dyDescent="0.25">
      <c r="B611" s="1"/>
      <c r="C611" s="91"/>
      <c r="F611" s="1"/>
    </row>
    <row r="612" spans="2:6" ht="15.75" customHeight="1" x14ac:dyDescent="0.25">
      <c r="B612" s="1"/>
      <c r="C612" s="91"/>
      <c r="F612" s="1"/>
    </row>
    <row r="613" spans="2:6" ht="15.75" customHeight="1" x14ac:dyDescent="0.25">
      <c r="B613" s="1"/>
      <c r="C613" s="91"/>
      <c r="F613" s="1"/>
    </row>
    <row r="614" spans="2:6" ht="15.75" customHeight="1" x14ac:dyDescent="0.25">
      <c r="B614" s="1"/>
      <c r="C614" s="91"/>
      <c r="F614" s="1"/>
    </row>
    <row r="615" spans="2:6" ht="15.75" customHeight="1" x14ac:dyDescent="0.25">
      <c r="B615" s="1"/>
      <c r="C615" s="91"/>
      <c r="F615" s="1"/>
    </row>
    <row r="616" spans="2:6" ht="15.75" customHeight="1" x14ac:dyDescent="0.25">
      <c r="B616" s="1"/>
      <c r="C616" s="91"/>
      <c r="F616" s="1"/>
    </row>
    <row r="617" spans="2:6" ht="15.75" customHeight="1" x14ac:dyDescent="0.25">
      <c r="B617" s="1"/>
      <c r="C617" s="91"/>
      <c r="F617" s="1"/>
    </row>
    <row r="618" spans="2:6" ht="15.75" customHeight="1" x14ac:dyDescent="0.25">
      <c r="B618" s="1"/>
      <c r="C618" s="91"/>
      <c r="F618" s="1"/>
    </row>
    <row r="619" spans="2:6" ht="15.75" customHeight="1" x14ac:dyDescent="0.25">
      <c r="B619" s="1"/>
      <c r="C619" s="91"/>
      <c r="F619" s="1"/>
    </row>
    <row r="620" spans="2:6" ht="15.75" customHeight="1" x14ac:dyDescent="0.25">
      <c r="B620" s="1"/>
      <c r="C620" s="91"/>
      <c r="F620" s="1"/>
    </row>
    <row r="621" spans="2:6" ht="15.75" customHeight="1" x14ac:dyDescent="0.25">
      <c r="B621" s="1"/>
      <c r="C621" s="91"/>
      <c r="F621" s="1"/>
    </row>
    <row r="622" spans="2:6" ht="15.75" customHeight="1" x14ac:dyDescent="0.25">
      <c r="B622" s="1"/>
      <c r="C622" s="91"/>
      <c r="F622" s="1"/>
    </row>
    <row r="623" spans="2:6" ht="15.75" customHeight="1" x14ac:dyDescent="0.25">
      <c r="B623" s="1"/>
      <c r="C623" s="91"/>
      <c r="F623" s="1"/>
    </row>
    <row r="624" spans="2:6" ht="15.75" customHeight="1" x14ac:dyDescent="0.25">
      <c r="B624" s="1"/>
      <c r="C624" s="91"/>
      <c r="F624" s="1"/>
    </row>
    <row r="625" spans="2:6" ht="15.75" customHeight="1" x14ac:dyDescent="0.25">
      <c r="B625" s="1"/>
      <c r="C625" s="91"/>
      <c r="F625" s="1"/>
    </row>
    <row r="626" spans="2:6" ht="15.75" customHeight="1" x14ac:dyDescent="0.25">
      <c r="B626" s="1"/>
      <c r="C626" s="91"/>
      <c r="F626" s="1"/>
    </row>
    <row r="627" spans="2:6" ht="15.75" customHeight="1" x14ac:dyDescent="0.25">
      <c r="B627" s="1"/>
      <c r="C627" s="91"/>
      <c r="F627" s="1"/>
    </row>
    <row r="628" spans="2:6" ht="15.75" customHeight="1" x14ac:dyDescent="0.25">
      <c r="B628" s="1"/>
      <c r="C628" s="91"/>
      <c r="F628" s="1"/>
    </row>
    <row r="629" spans="2:6" ht="15.75" customHeight="1" x14ac:dyDescent="0.25">
      <c r="B629" s="1"/>
      <c r="C629" s="91"/>
      <c r="F629" s="1"/>
    </row>
    <row r="630" spans="2:6" ht="15.75" customHeight="1" x14ac:dyDescent="0.25">
      <c r="B630" s="1"/>
      <c r="C630" s="91"/>
      <c r="F630" s="1"/>
    </row>
    <row r="631" spans="2:6" ht="15.75" customHeight="1" x14ac:dyDescent="0.25">
      <c r="B631" s="1"/>
      <c r="C631" s="91"/>
      <c r="F631" s="1"/>
    </row>
    <row r="632" spans="2:6" ht="15.75" customHeight="1" x14ac:dyDescent="0.25">
      <c r="B632" s="1"/>
      <c r="C632" s="91"/>
      <c r="F632" s="1"/>
    </row>
    <row r="633" spans="2:6" ht="15.75" customHeight="1" x14ac:dyDescent="0.25">
      <c r="B633" s="1"/>
      <c r="C633" s="91"/>
      <c r="F633" s="1"/>
    </row>
    <row r="634" spans="2:6" ht="15.75" customHeight="1" x14ac:dyDescent="0.25">
      <c r="B634" s="1"/>
      <c r="C634" s="91"/>
      <c r="F634" s="1"/>
    </row>
    <row r="635" spans="2:6" ht="15.75" customHeight="1" x14ac:dyDescent="0.25">
      <c r="B635" s="1"/>
      <c r="C635" s="91"/>
      <c r="F635" s="1"/>
    </row>
    <row r="636" spans="2:6" ht="15.75" customHeight="1" x14ac:dyDescent="0.25">
      <c r="B636" s="1"/>
      <c r="C636" s="91"/>
      <c r="F636" s="1"/>
    </row>
    <row r="637" spans="2:6" ht="15.75" customHeight="1" x14ac:dyDescent="0.25">
      <c r="B637" s="1"/>
      <c r="C637" s="91"/>
      <c r="F637" s="1"/>
    </row>
    <row r="638" spans="2:6" ht="15.75" customHeight="1" x14ac:dyDescent="0.25">
      <c r="B638" s="1"/>
      <c r="C638" s="91"/>
      <c r="F638" s="1"/>
    </row>
    <row r="639" spans="2:6" ht="15.75" customHeight="1" x14ac:dyDescent="0.25">
      <c r="B639" s="1"/>
      <c r="C639" s="91"/>
      <c r="F639" s="1"/>
    </row>
    <row r="640" spans="2:6" ht="15.75" customHeight="1" x14ac:dyDescent="0.25">
      <c r="B640" s="1"/>
      <c r="C640" s="91"/>
      <c r="F640" s="1"/>
    </row>
    <row r="641" spans="2:6" ht="15.75" customHeight="1" x14ac:dyDescent="0.25">
      <c r="B641" s="1"/>
      <c r="C641" s="91"/>
      <c r="F641" s="1"/>
    </row>
    <row r="642" spans="2:6" ht="15.75" customHeight="1" x14ac:dyDescent="0.25">
      <c r="B642" s="1"/>
      <c r="C642" s="91"/>
      <c r="F642" s="1"/>
    </row>
    <row r="643" spans="2:6" ht="15.75" customHeight="1" x14ac:dyDescent="0.25">
      <c r="B643" s="1"/>
      <c r="C643" s="91"/>
      <c r="F643" s="1"/>
    </row>
    <row r="644" spans="2:6" ht="15.75" customHeight="1" x14ac:dyDescent="0.25">
      <c r="B644" s="1"/>
      <c r="C644" s="91"/>
      <c r="F644" s="1"/>
    </row>
    <row r="645" spans="2:6" ht="15.75" customHeight="1" x14ac:dyDescent="0.25">
      <c r="B645" s="1"/>
      <c r="C645" s="91"/>
      <c r="F645" s="1"/>
    </row>
    <row r="646" spans="2:6" ht="15.75" customHeight="1" x14ac:dyDescent="0.25">
      <c r="B646" s="1"/>
      <c r="C646" s="91"/>
      <c r="F646" s="1"/>
    </row>
    <row r="647" spans="2:6" ht="15.75" customHeight="1" x14ac:dyDescent="0.25">
      <c r="B647" s="1"/>
      <c r="C647" s="91"/>
      <c r="F647" s="1"/>
    </row>
    <row r="648" spans="2:6" ht="15.75" customHeight="1" x14ac:dyDescent="0.25">
      <c r="B648" s="1"/>
      <c r="C648" s="91"/>
      <c r="F648" s="1"/>
    </row>
    <row r="649" spans="2:6" ht="15.75" customHeight="1" x14ac:dyDescent="0.25">
      <c r="B649" s="1"/>
      <c r="C649" s="91"/>
      <c r="F649" s="1"/>
    </row>
    <row r="650" spans="2:6" ht="15.75" customHeight="1" x14ac:dyDescent="0.25">
      <c r="B650" s="1"/>
      <c r="C650" s="91"/>
      <c r="F650" s="1"/>
    </row>
    <row r="651" spans="2:6" ht="15.75" customHeight="1" x14ac:dyDescent="0.25">
      <c r="B651" s="1"/>
      <c r="C651" s="91"/>
      <c r="F651" s="1"/>
    </row>
    <row r="652" spans="2:6" ht="15.75" customHeight="1" x14ac:dyDescent="0.25">
      <c r="B652" s="1"/>
      <c r="C652" s="91"/>
      <c r="F652" s="1"/>
    </row>
    <row r="653" spans="2:6" ht="15.75" customHeight="1" x14ac:dyDescent="0.25">
      <c r="B653" s="1"/>
      <c r="C653" s="91"/>
      <c r="F653" s="1"/>
    </row>
    <row r="654" spans="2:6" ht="15.75" customHeight="1" x14ac:dyDescent="0.25">
      <c r="B654" s="1"/>
      <c r="C654" s="91"/>
      <c r="F654" s="1"/>
    </row>
    <row r="655" spans="2:6" ht="15.75" customHeight="1" x14ac:dyDescent="0.25">
      <c r="B655" s="1"/>
      <c r="C655" s="91"/>
      <c r="F655" s="1"/>
    </row>
    <row r="656" spans="2:6" ht="15.75" customHeight="1" x14ac:dyDescent="0.25">
      <c r="B656" s="1"/>
      <c r="C656" s="91"/>
      <c r="F656" s="1"/>
    </row>
    <row r="657" spans="2:6" ht="15.75" customHeight="1" x14ac:dyDescent="0.25">
      <c r="B657" s="1"/>
      <c r="C657" s="91"/>
      <c r="F657" s="1"/>
    </row>
    <row r="658" spans="2:6" ht="15.75" customHeight="1" x14ac:dyDescent="0.25">
      <c r="B658" s="1"/>
      <c r="C658" s="91"/>
      <c r="F658" s="1"/>
    </row>
    <row r="659" spans="2:6" ht="15.75" customHeight="1" x14ac:dyDescent="0.25">
      <c r="B659" s="1"/>
      <c r="C659" s="91"/>
      <c r="F659" s="1"/>
    </row>
    <row r="660" spans="2:6" ht="15.75" customHeight="1" x14ac:dyDescent="0.25">
      <c r="B660" s="1"/>
      <c r="C660" s="91"/>
      <c r="F660" s="1"/>
    </row>
    <row r="661" spans="2:6" ht="15.75" customHeight="1" x14ac:dyDescent="0.25">
      <c r="B661" s="1"/>
      <c r="C661" s="91"/>
      <c r="F661" s="1"/>
    </row>
    <row r="662" spans="2:6" ht="15.75" customHeight="1" x14ac:dyDescent="0.25">
      <c r="B662" s="1"/>
      <c r="C662" s="91"/>
      <c r="F662" s="1"/>
    </row>
    <row r="663" spans="2:6" ht="15.75" customHeight="1" x14ac:dyDescent="0.25">
      <c r="B663" s="1"/>
      <c r="C663" s="91"/>
      <c r="F663" s="1"/>
    </row>
    <row r="664" spans="2:6" ht="15.75" customHeight="1" x14ac:dyDescent="0.25">
      <c r="B664" s="1"/>
      <c r="C664" s="91"/>
      <c r="F664" s="1"/>
    </row>
    <row r="665" spans="2:6" ht="15.75" customHeight="1" x14ac:dyDescent="0.25">
      <c r="B665" s="1"/>
      <c r="C665" s="91"/>
      <c r="F665" s="1"/>
    </row>
    <row r="666" spans="2:6" ht="15.75" customHeight="1" x14ac:dyDescent="0.25">
      <c r="B666" s="1"/>
      <c r="C666" s="91"/>
      <c r="F666" s="1"/>
    </row>
    <row r="667" spans="2:6" ht="15.75" customHeight="1" x14ac:dyDescent="0.25">
      <c r="B667" s="1"/>
      <c r="C667" s="91"/>
      <c r="F667" s="1"/>
    </row>
    <row r="668" spans="2:6" ht="15.75" customHeight="1" x14ac:dyDescent="0.25">
      <c r="B668" s="1"/>
      <c r="C668" s="91"/>
      <c r="F668" s="1"/>
    </row>
    <row r="669" spans="2:6" ht="15.75" customHeight="1" x14ac:dyDescent="0.25">
      <c r="B669" s="1"/>
      <c r="C669" s="91"/>
      <c r="F669" s="1"/>
    </row>
    <row r="670" spans="2:6" ht="15.75" customHeight="1" x14ac:dyDescent="0.25">
      <c r="B670" s="1"/>
      <c r="C670" s="91"/>
      <c r="F670" s="1"/>
    </row>
    <row r="671" spans="2:6" ht="15.75" customHeight="1" x14ac:dyDescent="0.25">
      <c r="B671" s="1"/>
      <c r="C671" s="91"/>
      <c r="F671" s="1"/>
    </row>
    <row r="672" spans="2:6" ht="15.75" customHeight="1" x14ac:dyDescent="0.25">
      <c r="B672" s="1"/>
      <c r="C672" s="91"/>
      <c r="F672" s="1"/>
    </row>
    <row r="673" spans="2:6" ht="15.75" customHeight="1" x14ac:dyDescent="0.25">
      <c r="B673" s="1"/>
      <c r="C673" s="91"/>
      <c r="F673" s="1"/>
    </row>
    <row r="674" spans="2:6" ht="15.75" customHeight="1" x14ac:dyDescent="0.25">
      <c r="B674" s="1"/>
      <c r="C674" s="91"/>
      <c r="F674" s="1"/>
    </row>
    <row r="675" spans="2:6" ht="15.75" customHeight="1" x14ac:dyDescent="0.25">
      <c r="B675" s="1"/>
      <c r="C675" s="91"/>
      <c r="F675" s="1"/>
    </row>
    <row r="676" spans="2:6" ht="15.75" customHeight="1" x14ac:dyDescent="0.25">
      <c r="B676" s="1"/>
      <c r="C676" s="91"/>
      <c r="F676" s="1"/>
    </row>
    <row r="677" spans="2:6" ht="15.75" customHeight="1" x14ac:dyDescent="0.25">
      <c r="B677" s="1"/>
      <c r="C677" s="91"/>
      <c r="F677" s="1"/>
    </row>
    <row r="678" spans="2:6" ht="15.75" customHeight="1" x14ac:dyDescent="0.25">
      <c r="B678" s="1"/>
      <c r="C678" s="91"/>
      <c r="F678" s="1"/>
    </row>
    <row r="679" spans="2:6" ht="15.75" customHeight="1" x14ac:dyDescent="0.25">
      <c r="B679" s="1"/>
      <c r="C679" s="91"/>
      <c r="F679" s="1"/>
    </row>
    <row r="680" spans="2:6" ht="15.75" customHeight="1" x14ac:dyDescent="0.25">
      <c r="B680" s="1"/>
      <c r="C680" s="91"/>
      <c r="F680" s="1"/>
    </row>
    <row r="681" spans="2:6" ht="15.75" customHeight="1" x14ac:dyDescent="0.25">
      <c r="B681" s="1"/>
      <c r="C681" s="91"/>
      <c r="F681" s="1"/>
    </row>
    <row r="682" spans="2:6" ht="15.75" customHeight="1" x14ac:dyDescent="0.25">
      <c r="B682" s="1"/>
      <c r="C682" s="91"/>
      <c r="F682" s="1"/>
    </row>
    <row r="683" spans="2:6" ht="15.75" customHeight="1" x14ac:dyDescent="0.25">
      <c r="B683" s="1"/>
      <c r="C683" s="91"/>
      <c r="F683" s="1"/>
    </row>
    <row r="684" spans="2:6" ht="15.75" customHeight="1" x14ac:dyDescent="0.25">
      <c r="B684" s="1"/>
      <c r="C684" s="91"/>
      <c r="F684" s="1"/>
    </row>
    <row r="685" spans="2:6" ht="15.75" customHeight="1" x14ac:dyDescent="0.25">
      <c r="B685" s="1"/>
      <c r="C685" s="91"/>
      <c r="F685" s="1"/>
    </row>
    <row r="686" spans="2:6" ht="15.75" customHeight="1" x14ac:dyDescent="0.25">
      <c r="B686" s="1"/>
      <c r="C686" s="91"/>
      <c r="F686" s="1"/>
    </row>
    <row r="687" spans="2:6" ht="15.75" customHeight="1" x14ac:dyDescent="0.25">
      <c r="B687" s="1"/>
      <c r="C687" s="91"/>
      <c r="F687" s="1"/>
    </row>
    <row r="688" spans="2:6" ht="15.75" customHeight="1" x14ac:dyDescent="0.25">
      <c r="B688" s="1"/>
      <c r="C688" s="91"/>
      <c r="F688" s="1"/>
    </row>
    <row r="689" spans="2:6" ht="15.75" customHeight="1" x14ac:dyDescent="0.25">
      <c r="B689" s="1"/>
      <c r="C689" s="91"/>
      <c r="F689" s="1"/>
    </row>
    <row r="690" spans="2:6" ht="15.75" customHeight="1" x14ac:dyDescent="0.25">
      <c r="B690" s="1"/>
      <c r="C690" s="91"/>
      <c r="F690" s="1"/>
    </row>
    <row r="691" spans="2:6" ht="15.75" customHeight="1" x14ac:dyDescent="0.25">
      <c r="B691" s="1"/>
      <c r="C691" s="91"/>
      <c r="F691" s="1"/>
    </row>
    <row r="692" spans="2:6" ht="15.75" customHeight="1" x14ac:dyDescent="0.25">
      <c r="B692" s="1"/>
      <c r="C692" s="91"/>
      <c r="F692" s="1"/>
    </row>
    <row r="693" spans="2:6" ht="15.75" customHeight="1" x14ac:dyDescent="0.25">
      <c r="B693" s="1"/>
      <c r="C693" s="91"/>
      <c r="F693" s="1"/>
    </row>
    <row r="694" spans="2:6" ht="15.75" customHeight="1" x14ac:dyDescent="0.25">
      <c r="B694" s="1"/>
      <c r="C694" s="91"/>
      <c r="F694" s="1"/>
    </row>
    <row r="695" spans="2:6" ht="15.75" customHeight="1" x14ac:dyDescent="0.25">
      <c r="B695" s="1"/>
      <c r="C695" s="91"/>
      <c r="F695" s="1"/>
    </row>
    <row r="696" spans="2:6" ht="15.75" customHeight="1" x14ac:dyDescent="0.25">
      <c r="B696" s="1"/>
      <c r="C696" s="91"/>
      <c r="F696" s="1"/>
    </row>
    <row r="697" spans="2:6" ht="15.75" customHeight="1" x14ac:dyDescent="0.25">
      <c r="B697" s="1"/>
      <c r="C697" s="91"/>
      <c r="F697" s="1"/>
    </row>
    <row r="698" spans="2:6" ht="15.75" customHeight="1" x14ac:dyDescent="0.25">
      <c r="B698" s="1"/>
      <c r="C698" s="91"/>
      <c r="F698" s="1"/>
    </row>
    <row r="699" spans="2:6" ht="15.75" customHeight="1" x14ac:dyDescent="0.25">
      <c r="B699" s="1"/>
      <c r="C699" s="91"/>
      <c r="F699" s="1"/>
    </row>
    <row r="700" spans="2:6" ht="15.75" customHeight="1" x14ac:dyDescent="0.25">
      <c r="B700" s="1"/>
      <c r="C700" s="91"/>
      <c r="F700" s="1"/>
    </row>
    <row r="701" spans="2:6" ht="15.75" customHeight="1" x14ac:dyDescent="0.25">
      <c r="B701" s="1"/>
      <c r="C701" s="91"/>
      <c r="F701" s="1"/>
    </row>
    <row r="702" spans="2:6" ht="15.75" customHeight="1" x14ac:dyDescent="0.25">
      <c r="B702" s="1"/>
      <c r="C702" s="91"/>
      <c r="F702" s="1"/>
    </row>
    <row r="703" spans="2:6" ht="15.75" customHeight="1" x14ac:dyDescent="0.25">
      <c r="B703" s="1"/>
      <c r="C703" s="91"/>
      <c r="F703" s="1"/>
    </row>
    <row r="704" spans="2:6" ht="15.75" customHeight="1" x14ac:dyDescent="0.25">
      <c r="B704" s="1"/>
      <c r="C704" s="91"/>
      <c r="F704" s="1"/>
    </row>
    <row r="705" spans="2:6" ht="15.75" customHeight="1" x14ac:dyDescent="0.25">
      <c r="B705" s="1"/>
      <c r="C705" s="91"/>
      <c r="F705" s="1"/>
    </row>
    <row r="706" spans="2:6" ht="15.75" customHeight="1" x14ac:dyDescent="0.25">
      <c r="B706" s="1"/>
      <c r="C706" s="91"/>
      <c r="F706" s="1"/>
    </row>
    <row r="707" spans="2:6" ht="15.75" customHeight="1" x14ac:dyDescent="0.25">
      <c r="B707" s="1"/>
      <c r="C707" s="91"/>
      <c r="F707" s="1"/>
    </row>
    <row r="708" spans="2:6" ht="15.75" customHeight="1" x14ac:dyDescent="0.25">
      <c r="B708" s="1"/>
      <c r="C708" s="91"/>
      <c r="F708" s="1"/>
    </row>
    <row r="709" spans="2:6" ht="15.75" customHeight="1" x14ac:dyDescent="0.25">
      <c r="B709" s="1"/>
      <c r="C709" s="91"/>
      <c r="F709" s="1"/>
    </row>
    <row r="710" spans="2:6" ht="15.75" customHeight="1" x14ac:dyDescent="0.25">
      <c r="B710" s="1"/>
      <c r="C710" s="91"/>
      <c r="F710" s="1"/>
    </row>
    <row r="711" spans="2:6" ht="15.75" customHeight="1" x14ac:dyDescent="0.25">
      <c r="B711" s="1"/>
      <c r="C711" s="91"/>
      <c r="F711" s="1"/>
    </row>
    <row r="712" spans="2:6" ht="15.75" customHeight="1" x14ac:dyDescent="0.25">
      <c r="B712" s="1"/>
      <c r="C712" s="91"/>
      <c r="F712" s="1"/>
    </row>
    <row r="713" spans="2:6" ht="15.75" customHeight="1" x14ac:dyDescent="0.25">
      <c r="B713" s="1"/>
      <c r="C713" s="91"/>
      <c r="F713" s="1"/>
    </row>
    <row r="714" spans="2:6" ht="15.75" customHeight="1" x14ac:dyDescent="0.25">
      <c r="B714" s="1"/>
      <c r="C714" s="91"/>
      <c r="F714" s="1"/>
    </row>
    <row r="715" spans="2:6" ht="15.75" customHeight="1" x14ac:dyDescent="0.25">
      <c r="B715" s="1"/>
      <c r="C715" s="91"/>
      <c r="F715" s="1"/>
    </row>
    <row r="716" spans="2:6" ht="15.75" customHeight="1" x14ac:dyDescent="0.25">
      <c r="B716" s="1"/>
      <c r="C716" s="91"/>
      <c r="F716" s="1"/>
    </row>
    <row r="717" spans="2:6" ht="15.75" customHeight="1" x14ac:dyDescent="0.25">
      <c r="B717" s="1"/>
      <c r="C717" s="91"/>
      <c r="F717" s="1"/>
    </row>
    <row r="718" spans="2:6" ht="15.75" customHeight="1" x14ac:dyDescent="0.25">
      <c r="B718" s="1"/>
      <c r="C718" s="91"/>
      <c r="F718" s="1"/>
    </row>
    <row r="719" spans="2:6" ht="15.75" customHeight="1" x14ac:dyDescent="0.25">
      <c r="B719" s="1"/>
      <c r="C719" s="91"/>
      <c r="F719" s="1"/>
    </row>
    <row r="720" spans="2:6" ht="15.75" customHeight="1" x14ac:dyDescent="0.25">
      <c r="B720" s="1"/>
      <c r="C720" s="91"/>
      <c r="F720" s="1"/>
    </row>
    <row r="721" spans="2:6" ht="15.75" customHeight="1" x14ac:dyDescent="0.25">
      <c r="B721" s="1"/>
      <c r="C721" s="91"/>
      <c r="F721" s="1"/>
    </row>
    <row r="722" spans="2:6" ht="15.75" customHeight="1" x14ac:dyDescent="0.25">
      <c r="B722" s="1"/>
      <c r="C722" s="91"/>
      <c r="F722" s="1"/>
    </row>
    <row r="723" spans="2:6" ht="15.75" customHeight="1" x14ac:dyDescent="0.25">
      <c r="B723" s="1"/>
      <c r="C723" s="91"/>
      <c r="F723" s="1"/>
    </row>
    <row r="724" spans="2:6" ht="15.75" customHeight="1" x14ac:dyDescent="0.25">
      <c r="B724" s="1"/>
      <c r="C724" s="91"/>
      <c r="F724" s="1"/>
    </row>
    <row r="725" spans="2:6" ht="15.75" customHeight="1" x14ac:dyDescent="0.25">
      <c r="B725" s="1"/>
      <c r="C725" s="91"/>
      <c r="F725" s="1"/>
    </row>
    <row r="726" spans="2:6" ht="15.75" customHeight="1" x14ac:dyDescent="0.25">
      <c r="B726" s="1"/>
      <c r="C726" s="91"/>
      <c r="F726" s="1"/>
    </row>
    <row r="727" spans="2:6" ht="15.75" customHeight="1" x14ac:dyDescent="0.25">
      <c r="B727" s="1"/>
      <c r="C727" s="91"/>
      <c r="F727" s="1"/>
    </row>
    <row r="728" spans="2:6" ht="15.75" customHeight="1" x14ac:dyDescent="0.25">
      <c r="B728" s="1"/>
      <c r="C728" s="91"/>
      <c r="F728" s="1"/>
    </row>
    <row r="729" spans="2:6" ht="15.75" customHeight="1" x14ac:dyDescent="0.25">
      <c r="B729" s="1"/>
      <c r="C729" s="91"/>
      <c r="F729" s="1"/>
    </row>
    <row r="730" spans="2:6" ht="15.75" customHeight="1" x14ac:dyDescent="0.25">
      <c r="B730" s="1"/>
      <c r="C730" s="91"/>
      <c r="F730" s="1"/>
    </row>
    <row r="731" spans="2:6" ht="15.75" customHeight="1" x14ac:dyDescent="0.25">
      <c r="B731" s="1"/>
      <c r="C731" s="91"/>
      <c r="F731" s="1"/>
    </row>
    <row r="732" spans="2:6" ht="15.75" customHeight="1" x14ac:dyDescent="0.25">
      <c r="B732" s="1"/>
      <c r="C732" s="91"/>
      <c r="F732" s="1"/>
    </row>
    <row r="733" spans="2:6" ht="15.75" customHeight="1" x14ac:dyDescent="0.25">
      <c r="B733" s="1"/>
      <c r="C733" s="91"/>
      <c r="F733" s="1"/>
    </row>
    <row r="734" spans="2:6" ht="15.75" customHeight="1" x14ac:dyDescent="0.25">
      <c r="B734" s="1"/>
      <c r="C734" s="91"/>
      <c r="F734" s="1"/>
    </row>
    <row r="735" spans="2:6" ht="15.75" customHeight="1" x14ac:dyDescent="0.25">
      <c r="B735" s="1"/>
      <c r="C735" s="91"/>
      <c r="F735" s="1"/>
    </row>
    <row r="736" spans="2:6" ht="15.75" customHeight="1" x14ac:dyDescent="0.25">
      <c r="B736" s="1"/>
      <c r="C736" s="91"/>
      <c r="F736" s="1"/>
    </row>
    <row r="737" spans="2:6" ht="15.75" customHeight="1" x14ac:dyDescent="0.25">
      <c r="B737" s="1"/>
      <c r="C737" s="91"/>
      <c r="F737" s="1"/>
    </row>
    <row r="738" spans="2:6" ht="15.75" customHeight="1" x14ac:dyDescent="0.25">
      <c r="B738" s="1"/>
      <c r="C738" s="91"/>
      <c r="F738" s="1"/>
    </row>
    <row r="739" spans="2:6" ht="15.75" customHeight="1" x14ac:dyDescent="0.25">
      <c r="B739" s="1"/>
      <c r="C739" s="91"/>
      <c r="F739" s="1"/>
    </row>
    <row r="740" spans="2:6" ht="15.75" customHeight="1" x14ac:dyDescent="0.25">
      <c r="B740" s="1"/>
      <c r="C740" s="91"/>
      <c r="F740" s="1"/>
    </row>
    <row r="741" spans="2:6" ht="15.75" customHeight="1" x14ac:dyDescent="0.25">
      <c r="B741" s="1"/>
      <c r="C741" s="91"/>
      <c r="F741" s="1"/>
    </row>
    <row r="742" spans="2:6" ht="15.75" customHeight="1" x14ac:dyDescent="0.25">
      <c r="B742" s="1"/>
      <c r="C742" s="91"/>
      <c r="F742" s="1"/>
    </row>
    <row r="743" spans="2:6" ht="15.75" customHeight="1" x14ac:dyDescent="0.25">
      <c r="B743" s="1"/>
      <c r="C743" s="91"/>
      <c r="F743" s="1"/>
    </row>
    <row r="744" spans="2:6" ht="15.75" customHeight="1" x14ac:dyDescent="0.25">
      <c r="B744" s="1"/>
      <c r="C744" s="91"/>
      <c r="F744" s="1"/>
    </row>
    <row r="745" spans="2:6" ht="15.75" customHeight="1" x14ac:dyDescent="0.25">
      <c r="B745" s="1"/>
      <c r="C745" s="91"/>
      <c r="F745" s="1"/>
    </row>
    <row r="746" spans="2:6" ht="15.75" customHeight="1" x14ac:dyDescent="0.25">
      <c r="B746" s="1"/>
      <c r="C746" s="91"/>
      <c r="F746" s="1"/>
    </row>
    <row r="747" spans="2:6" ht="15.75" customHeight="1" x14ac:dyDescent="0.25">
      <c r="B747" s="1"/>
      <c r="C747" s="91"/>
      <c r="F747" s="1"/>
    </row>
    <row r="748" spans="2:6" ht="15.75" customHeight="1" x14ac:dyDescent="0.25">
      <c r="B748" s="1"/>
      <c r="C748" s="91"/>
      <c r="F748" s="1"/>
    </row>
    <row r="749" spans="2:6" ht="15.75" customHeight="1" x14ac:dyDescent="0.25">
      <c r="B749" s="1"/>
      <c r="C749" s="91"/>
      <c r="F749" s="1"/>
    </row>
    <row r="750" spans="2:6" ht="15.75" customHeight="1" x14ac:dyDescent="0.25">
      <c r="B750" s="1"/>
      <c r="C750" s="91"/>
      <c r="F750" s="1"/>
    </row>
    <row r="751" spans="2:6" ht="15.75" customHeight="1" x14ac:dyDescent="0.25">
      <c r="B751" s="1"/>
      <c r="C751" s="91"/>
      <c r="F751" s="1"/>
    </row>
    <row r="752" spans="2:6" ht="15.75" customHeight="1" x14ac:dyDescent="0.25">
      <c r="B752" s="1"/>
      <c r="C752" s="91"/>
      <c r="F752" s="1"/>
    </row>
    <row r="753" spans="2:6" ht="15.75" customHeight="1" x14ac:dyDescent="0.25">
      <c r="B753" s="1"/>
      <c r="C753" s="91"/>
      <c r="F753" s="1"/>
    </row>
    <row r="754" spans="2:6" ht="15.75" customHeight="1" x14ac:dyDescent="0.25">
      <c r="B754" s="1"/>
      <c r="C754" s="91"/>
      <c r="F754" s="1"/>
    </row>
    <row r="755" spans="2:6" ht="15.75" customHeight="1" x14ac:dyDescent="0.25">
      <c r="B755" s="1"/>
      <c r="C755" s="91"/>
      <c r="F755" s="1"/>
    </row>
    <row r="756" spans="2:6" ht="15.75" customHeight="1" x14ac:dyDescent="0.25">
      <c r="B756" s="1"/>
      <c r="C756" s="91"/>
      <c r="F756" s="1"/>
    </row>
    <row r="757" spans="2:6" ht="15.75" customHeight="1" x14ac:dyDescent="0.25">
      <c r="B757" s="1"/>
      <c r="C757" s="91"/>
      <c r="F757" s="1"/>
    </row>
    <row r="758" spans="2:6" ht="15.75" customHeight="1" x14ac:dyDescent="0.25">
      <c r="B758" s="1"/>
      <c r="C758" s="91"/>
      <c r="F758" s="1"/>
    </row>
    <row r="759" spans="2:6" ht="15.75" customHeight="1" x14ac:dyDescent="0.25">
      <c r="B759" s="1"/>
      <c r="C759" s="91"/>
      <c r="F759" s="1"/>
    </row>
    <row r="760" spans="2:6" ht="15.75" customHeight="1" x14ac:dyDescent="0.25">
      <c r="B760" s="1"/>
      <c r="C760" s="91"/>
      <c r="F760" s="1"/>
    </row>
    <row r="761" spans="2:6" ht="15.75" customHeight="1" x14ac:dyDescent="0.25">
      <c r="B761" s="1"/>
      <c r="C761" s="91"/>
      <c r="F761" s="1"/>
    </row>
    <row r="762" spans="2:6" ht="15.75" customHeight="1" x14ac:dyDescent="0.25">
      <c r="B762" s="1"/>
      <c r="C762" s="91"/>
      <c r="F762" s="1"/>
    </row>
    <row r="763" spans="2:6" ht="15.75" customHeight="1" x14ac:dyDescent="0.25">
      <c r="B763" s="1"/>
      <c r="C763" s="91"/>
      <c r="F763" s="1"/>
    </row>
    <row r="764" spans="2:6" ht="15.75" customHeight="1" x14ac:dyDescent="0.25">
      <c r="B764" s="1"/>
      <c r="C764" s="91"/>
      <c r="F764" s="1"/>
    </row>
    <row r="765" spans="2:6" ht="15.75" customHeight="1" x14ac:dyDescent="0.25">
      <c r="B765" s="1"/>
      <c r="C765" s="91"/>
      <c r="F765" s="1"/>
    </row>
    <row r="766" spans="2:6" ht="15.75" customHeight="1" x14ac:dyDescent="0.25">
      <c r="B766" s="1"/>
      <c r="C766" s="91"/>
      <c r="F766" s="1"/>
    </row>
    <row r="767" spans="2:6" ht="15.75" customHeight="1" x14ac:dyDescent="0.25">
      <c r="B767" s="1"/>
      <c r="C767" s="91"/>
      <c r="F767" s="1"/>
    </row>
    <row r="768" spans="2:6" ht="15.75" customHeight="1" x14ac:dyDescent="0.25">
      <c r="B768" s="1"/>
      <c r="C768" s="91"/>
      <c r="F768" s="1"/>
    </row>
    <row r="769" spans="2:6" ht="15.75" customHeight="1" x14ac:dyDescent="0.25">
      <c r="B769" s="1"/>
      <c r="C769" s="91"/>
      <c r="F769" s="1"/>
    </row>
    <row r="770" spans="2:6" ht="15.75" customHeight="1" x14ac:dyDescent="0.25">
      <c r="B770" s="1"/>
      <c r="C770" s="91"/>
      <c r="F770" s="1"/>
    </row>
    <row r="771" spans="2:6" ht="15.75" customHeight="1" x14ac:dyDescent="0.25">
      <c r="B771" s="1"/>
      <c r="C771" s="91"/>
      <c r="F771" s="1"/>
    </row>
    <row r="772" spans="2:6" ht="15.75" customHeight="1" x14ac:dyDescent="0.25">
      <c r="B772" s="1"/>
      <c r="C772" s="91"/>
      <c r="F772" s="1"/>
    </row>
    <row r="773" spans="2:6" ht="15.75" customHeight="1" x14ac:dyDescent="0.25">
      <c r="B773" s="1"/>
      <c r="C773" s="91"/>
      <c r="F773" s="1"/>
    </row>
    <row r="774" spans="2:6" ht="15.75" customHeight="1" x14ac:dyDescent="0.25">
      <c r="B774" s="1"/>
      <c r="C774" s="91"/>
      <c r="F774" s="1"/>
    </row>
    <row r="775" spans="2:6" ht="15.75" customHeight="1" x14ac:dyDescent="0.25">
      <c r="B775" s="1"/>
      <c r="C775" s="91"/>
      <c r="F775" s="1"/>
    </row>
    <row r="776" spans="2:6" ht="15.75" customHeight="1" x14ac:dyDescent="0.25">
      <c r="B776" s="1"/>
      <c r="C776" s="91"/>
      <c r="F776" s="1"/>
    </row>
    <row r="777" spans="2:6" ht="15.75" customHeight="1" x14ac:dyDescent="0.25">
      <c r="B777" s="1"/>
      <c r="C777" s="91"/>
      <c r="F777" s="1"/>
    </row>
    <row r="778" spans="2:6" ht="15.75" customHeight="1" x14ac:dyDescent="0.25">
      <c r="B778" s="1"/>
      <c r="C778" s="91"/>
      <c r="F778" s="1"/>
    </row>
    <row r="779" spans="2:6" ht="15.75" customHeight="1" x14ac:dyDescent="0.25">
      <c r="B779" s="1"/>
      <c r="C779" s="91"/>
      <c r="F779" s="1"/>
    </row>
    <row r="780" spans="2:6" ht="15.75" customHeight="1" x14ac:dyDescent="0.25">
      <c r="B780" s="1"/>
      <c r="C780" s="91"/>
      <c r="F780" s="1"/>
    </row>
    <row r="781" spans="2:6" ht="15.75" customHeight="1" x14ac:dyDescent="0.25">
      <c r="B781" s="1"/>
      <c r="C781" s="91"/>
      <c r="F781" s="1"/>
    </row>
    <row r="782" spans="2:6" ht="15.75" customHeight="1" x14ac:dyDescent="0.25">
      <c r="B782" s="1"/>
      <c r="C782" s="91"/>
      <c r="F782" s="1"/>
    </row>
    <row r="783" spans="2:6" ht="15.75" customHeight="1" x14ac:dyDescent="0.25">
      <c r="B783" s="1"/>
      <c r="C783" s="91"/>
      <c r="F783" s="1"/>
    </row>
    <row r="784" spans="2:6" ht="15.75" customHeight="1" x14ac:dyDescent="0.25">
      <c r="B784" s="1"/>
      <c r="C784" s="91"/>
      <c r="F784" s="1"/>
    </row>
    <row r="785" spans="2:6" ht="15.75" customHeight="1" x14ac:dyDescent="0.25">
      <c r="B785" s="1"/>
      <c r="C785" s="91"/>
      <c r="F785" s="1"/>
    </row>
    <row r="786" spans="2:6" ht="15.75" customHeight="1" x14ac:dyDescent="0.25">
      <c r="B786" s="1"/>
      <c r="C786" s="91"/>
      <c r="F786" s="1"/>
    </row>
    <row r="787" spans="2:6" ht="15.75" customHeight="1" x14ac:dyDescent="0.25">
      <c r="B787" s="1"/>
      <c r="C787" s="91"/>
      <c r="F787" s="1"/>
    </row>
    <row r="788" spans="2:6" ht="15.75" customHeight="1" x14ac:dyDescent="0.25">
      <c r="B788" s="1"/>
      <c r="C788" s="91"/>
      <c r="F788" s="1"/>
    </row>
    <row r="789" spans="2:6" ht="15.75" customHeight="1" x14ac:dyDescent="0.25">
      <c r="B789" s="1"/>
      <c r="C789" s="91"/>
      <c r="F789" s="1"/>
    </row>
    <row r="790" spans="2:6" ht="15.75" customHeight="1" x14ac:dyDescent="0.25">
      <c r="B790" s="1"/>
      <c r="C790" s="91"/>
      <c r="F790" s="1"/>
    </row>
    <row r="791" spans="2:6" ht="15.75" customHeight="1" x14ac:dyDescent="0.25">
      <c r="B791" s="1"/>
      <c r="C791" s="91"/>
      <c r="F791" s="1"/>
    </row>
    <row r="792" spans="2:6" ht="15.75" customHeight="1" x14ac:dyDescent="0.25">
      <c r="B792" s="1"/>
      <c r="C792" s="91"/>
      <c r="F792" s="1"/>
    </row>
    <row r="793" spans="2:6" ht="15.75" customHeight="1" x14ac:dyDescent="0.25">
      <c r="B793" s="1"/>
      <c r="C793" s="91"/>
      <c r="F793" s="1"/>
    </row>
    <row r="794" spans="2:6" ht="15.75" customHeight="1" x14ac:dyDescent="0.25">
      <c r="B794" s="1"/>
      <c r="C794" s="91"/>
      <c r="F794" s="1"/>
    </row>
    <row r="795" spans="2:6" ht="15.75" customHeight="1" x14ac:dyDescent="0.25">
      <c r="B795" s="1"/>
      <c r="C795" s="91"/>
      <c r="F795" s="1"/>
    </row>
    <row r="796" spans="2:6" ht="15.75" customHeight="1" x14ac:dyDescent="0.25">
      <c r="B796" s="1"/>
      <c r="C796" s="91"/>
      <c r="F796" s="1"/>
    </row>
    <row r="797" spans="2:6" ht="15.75" customHeight="1" x14ac:dyDescent="0.25">
      <c r="B797" s="1"/>
      <c r="C797" s="91"/>
      <c r="F797" s="1"/>
    </row>
    <row r="798" spans="2:6" ht="15.75" customHeight="1" x14ac:dyDescent="0.25">
      <c r="B798" s="1"/>
      <c r="C798" s="91"/>
      <c r="F798" s="1"/>
    </row>
    <row r="799" spans="2:6" ht="15.75" customHeight="1" x14ac:dyDescent="0.25">
      <c r="B799" s="1"/>
      <c r="C799" s="91"/>
      <c r="F799" s="1"/>
    </row>
    <row r="800" spans="2:6" ht="15.75" customHeight="1" x14ac:dyDescent="0.25">
      <c r="B800" s="1"/>
      <c r="C800" s="91"/>
      <c r="F800" s="1"/>
    </row>
    <row r="801" spans="2:6" ht="15.75" customHeight="1" x14ac:dyDescent="0.25">
      <c r="B801" s="1"/>
      <c r="C801" s="91"/>
      <c r="F801" s="1"/>
    </row>
    <row r="802" spans="2:6" ht="15.75" customHeight="1" x14ac:dyDescent="0.25">
      <c r="B802" s="1"/>
      <c r="C802" s="91"/>
      <c r="F802" s="1"/>
    </row>
    <row r="803" spans="2:6" ht="15.75" customHeight="1" x14ac:dyDescent="0.25">
      <c r="B803" s="1"/>
      <c r="C803" s="91"/>
      <c r="F803" s="1"/>
    </row>
    <row r="804" spans="2:6" ht="15.75" customHeight="1" x14ac:dyDescent="0.25">
      <c r="B804" s="1"/>
      <c r="C804" s="91"/>
      <c r="F804" s="1"/>
    </row>
    <row r="805" spans="2:6" ht="15.75" customHeight="1" x14ac:dyDescent="0.25">
      <c r="B805" s="1"/>
      <c r="C805" s="91"/>
      <c r="F805" s="1"/>
    </row>
    <row r="806" spans="2:6" ht="15.75" customHeight="1" x14ac:dyDescent="0.25">
      <c r="B806" s="1"/>
      <c r="C806" s="91"/>
      <c r="F806" s="1"/>
    </row>
    <row r="807" spans="2:6" ht="15.75" customHeight="1" x14ac:dyDescent="0.25">
      <c r="B807" s="1"/>
      <c r="C807" s="91"/>
      <c r="F807" s="1"/>
    </row>
    <row r="808" spans="2:6" ht="15.75" customHeight="1" x14ac:dyDescent="0.25">
      <c r="B808" s="1"/>
      <c r="C808" s="91"/>
      <c r="F808" s="1"/>
    </row>
    <row r="809" spans="2:6" ht="15.75" customHeight="1" x14ac:dyDescent="0.25">
      <c r="B809" s="1"/>
      <c r="C809" s="91"/>
      <c r="F809" s="1"/>
    </row>
    <row r="810" spans="2:6" ht="15.75" customHeight="1" x14ac:dyDescent="0.25">
      <c r="B810" s="1"/>
      <c r="C810" s="91"/>
      <c r="F810" s="1"/>
    </row>
    <row r="811" spans="2:6" ht="15.75" customHeight="1" x14ac:dyDescent="0.25">
      <c r="B811" s="1"/>
      <c r="C811" s="91"/>
      <c r="F811" s="1"/>
    </row>
    <row r="812" spans="2:6" ht="15.75" customHeight="1" x14ac:dyDescent="0.25">
      <c r="B812" s="1"/>
      <c r="C812" s="91"/>
      <c r="F812" s="1"/>
    </row>
    <row r="813" spans="2:6" ht="15.75" customHeight="1" x14ac:dyDescent="0.25">
      <c r="B813" s="1"/>
      <c r="C813" s="91"/>
      <c r="F813" s="1"/>
    </row>
    <row r="814" spans="2:6" ht="15.75" customHeight="1" x14ac:dyDescent="0.25">
      <c r="B814" s="1"/>
      <c r="C814" s="91"/>
      <c r="F814" s="1"/>
    </row>
    <row r="815" spans="2:6" ht="15.75" customHeight="1" x14ac:dyDescent="0.25">
      <c r="B815" s="1"/>
      <c r="C815" s="91"/>
      <c r="F815" s="1"/>
    </row>
    <row r="816" spans="2:6" ht="15.75" customHeight="1" x14ac:dyDescent="0.25">
      <c r="B816" s="1"/>
      <c r="C816" s="91"/>
      <c r="F816" s="1"/>
    </row>
    <row r="817" spans="2:6" ht="15.75" customHeight="1" x14ac:dyDescent="0.25">
      <c r="B817" s="1"/>
      <c r="C817" s="91"/>
      <c r="F817" s="1"/>
    </row>
    <row r="818" spans="2:6" ht="15.75" customHeight="1" x14ac:dyDescent="0.25">
      <c r="B818" s="1"/>
      <c r="C818" s="91"/>
      <c r="F818" s="1"/>
    </row>
    <row r="819" spans="2:6" ht="15.75" customHeight="1" x14ac:dyDescent="0.25">
      <c r="B819" s="1"/>
      <c r="C819" s="91"/>
      <c r="F819" s="1"/>
    </row>
    <row r="820" spans="2:6" ht="15.75" customHeight="1" x14ac:dyDescent="0.25">
      <c r="B820" s="1"/>
      <c r="C820" s="91"/>
      <c r="F820" s="1"/>
    </row>
    <row r="821" spans="2:6" ht="15.75" customHeight="1" x14ac:dyDescent="0.25">
      <c r="B821" s="1"/>
      <c r="C821" s="91"/>
      <c r="F821" s="1"/>
    </row>
    <row r="822" spans="2:6" ht="15.75" customHeight="1" x14ac:dyDescent="0.25">
      <c r="B822" s="1"/>
      <c r="C822" s="91"/>
      <c r="F822" s="1"/>
    </row>
    <row r="823" spans="2:6" ht="15.75" customHeight="1" x14ac:dyDescent="0.25">
      <c r="B823" s="1"/>
      <c r="C823" s="91"/>
      <c r="F823" s="1"/>
    </row>
    <row r="824" spans="2:6" ht="15.75" customHeight="1" x14ac:dyDescent="0.25">
      <c r="B824" s="1"/>
      <c r="C824" s="91"/>
      <c r="F824" s="1"/>
    </row>
    <row r="825" spans="2:6" ht="15.75" customHeight="1" x14ac:dyDescent="0.25">
      <c r="B825" s="1"/>
      <c r="C825" s="91"/>
      <c r="F825" s="1"/>
    </row>
    <row r="826" spans="2:6" ht="15.75" customHeight="1" x14ac:dyDescent="0.25">
      <c r="B826" s="1"/>
      <c r="C826" s="91"/>
      <c r="F826" s="1"/>
    </row>
    <row r="827" spans="2:6" ht="15.75" customHeight="1" x14ac:dyDescent="0.25">
      <c r="B827" s="1"/>
      <c r="C827" s="91"/>
      <c r="F827" s="1"/>
    </row>
    <row r="828" spans="2:6" ht="15.75" customHeight="1" x14ac:dyDescent="0.25">
      <c r="B828" s="1"/>
      <c r="C828" s="91"/>
      <c r="F828" s="1"/>
    </row>
    <row r="829" spans="2:6" ht="15.75" customHeight="1" x14ac:dyDescent="0.25">
      <c r="B829" s="1"/>
      <c r="C829" s="91"/>
      <c r="F829" s="1"/>
    </row>
    <row r="830" spans="2:6" ht="15.75" customHeight="1" x14ac:dyDescent="0.25">
      <c r="B830" s="1"/>
      <c r="C830" s="91"/>
      <c r="F830" s="1"/>
    </row>
    <row r="831" spans="2:6" ht="15.75" customHeight="1" x14ac:dyDescent="0.25">
      <c r="B831" s="1"/>
      <c r="C831" s="91"/>
      <c r="F831" s="1"/>
    </row>
    <row r="832" spans="2:6" ht="15.75" customHeight="1" x14ac:dyDescent="0.25">
      <c r="B832" s="1"/>
      <c r="C832" s="91"/>
      <c r="F832" s="1"/>
    </row>
    <row r="833" spans="2:6" ht="15.75" customHeight="1" x14ac:dyDescent="0.25">
      <c r="B833" s="1"/>
      <c r="C833" s="91"/>
      <c r="F833" s="1"/>
    </row>
    <row r="834" spans="2:6" ht="15.75" customHeight="1" x14ac:dyDescent="0.25">
      <c r="B834" s="1"/>
      <c r="C834" s="91"/>
      <c r="F834" s="1"/>
    </row>
    <row r="835" spans="2:6" ht="15.75" customHeight="1" x14ac:dyDescent="0.25">
      <c r="B835" s="1"/>
      <c r="C835" s="91"/>
      <c r="F835" s="1"/>
    </row>
    <row r="836" spans="2:6" ht="15.75" customHeight="1" x14ac:dyDescent="0.25">
      <c r="B836" s="1"/>
      <c r="C836" s="91"/>
      <c r="F836" s="1"/>
    </row>
    <row r="837" spans="2:6" ht="15.75" customHeight="1" x14ac:dyDescent="0.25">
      <c r="B837" s="1"/>
      <c r="C837" s="91"/>
      <c r="F837" s="1"/>
    </row>
    <row r="838" spans="2:6" ht="15.75" customHeight="1" x14ac:dyDescent="0.25">
      <c r="B838" s="1"/>
      <c r="C838" s="91"/>
      <c r="F838" s="1"/>
    </row>
    <row r="839" spans="2:6" ht="15.75" customHeight="1" x14ac:dyDescent="0.25">
      <c r="B839" s="1"/>
      <c r="C839" s="91"/>
      <c r="F839" s="1"/>
    </row>
    <row r="840" spans="2:6" ht="15.75" customHeight="1" x14ac:dyDescent="0.25">
      <c r="B840" s="1"/>
      <c r="C840" s="91"/>
      <c r="F840" s="1"/>
    </row>
    <row r="841" spans="2:6" ht="15.75" customHeight="1" x14ac:dyDescent="0.25">
      <c r="B841" s="1"/>
      <c r="C841" s="91"/>
      <c r="F841" s="1"/>
    </row>
    <row r="842" spans="2:6" ht="15.75" customHeight="1" x14ac:dyDescent="0.25">
      <c r="B842" s="1"/>
      <c r="C842" s="91"/>
      <c r="F842" s="1"/>
    </row>
    <row r="843" spans="2:6" ht="15.75" customHeight="1" x14ac:dyDescent="0.25">
      <c r="B843" s="1"/>
      <c r="C843" s="91"/>
      <c r="F843" s="1"/>
    </row>
    <row r="844" spans="2:6" ht="15.75" customHeight="1" x14ac:dyDescent="0.25">
      <c r="B844" s="1"/>
      <c r="C844" s="91"/>
      <c r="F844" s="1"/>
    </row>
    <row r="845" spans="2:6" ht="15.75" customHeight="1" x14ac:dyDescent="0.25">
      <c r="B845" s="1"/>
      <c r="C845" s="91"/>
      <c r="F845" s="1"/>
    </row>
    <row r="846" spans="2:6" ht="15.75" customHeight="1" x14ac:dyDescent="0.25">
      <c r="B846" s="1"/>
      <c r="C846" s="91"/>
      <c r="F846" s="1"/>
    </row>
    <row r="847" spans="2:6" ht="15.75" customHeight="1" x14ac:dyDescent="0.25">
      <c r="B847" s="1"/>
      <c r="C847" s="91"/>
      <c r="F847" s="1"/>
    </row>
    <row r="848" spans="2:6" ht="15.75" customHeight="1" x14ac:dyDescent="0.25">
      <c r="B848" s="1"/>
      <c r="C848" s="91"/>
      <c r="F848" s="1"/>
    </row>
    <row r="849" spans="2:6" ht="15.75" customHeight="1" x14ac:dyDescent="0.25">
      <c r="B849" s="1"/>
      <c r="C849" s="91"/>
      <c r="F849" s="1"/>
    </row>
    <row r="850" spans="2:6" ht="15.75" customHeight="1" x14ac:dyDescent="0.25">
      <c r="B850" s="1"/>
      <c r="C850" s="91"/>
      <c r="F850" s="1"/>
    </row>
    <row r="851" spans="2:6" ht="15.75" customHeight="1" x14ac:dyDescent="0.25">
      <c r="B851" s="1"/>
      <c r="C851" s="91"/>
      <c r="F851" s="1"/>
    </row>
    <row r="852" spans="2:6" ht="15.75" customHeight="1" x14ac:dyDescent="0.25">
      <c r="B852" s="1"/>
      <c r="C852" s="91"/>
      <c r="F852" s="1"/>
    </row>
    <row r="853" spans="2:6" ht="15.75" customHeight="1" x14ac:dyDescent="0.25">
      <c r="B853" s="1"/>
      <c r="C853" s="91"/>
      <c r="F853" s="1"/>
    </row>
    <row r="854" spans="2:6" ht="15.75" customHeight="1" x14ac:dyDescent="0.25">
      <c r="B854" s="1"/>
      <c r="C854" s="91"/>
      <c r="F854" s="1"/>
    </row>
    <row r="855" spans="2:6" ht="15.75" customHeight="1" x14ac:dyDescent="0.25">
      <c r="B855" s="1"/>
      <c r="C855" s="91"/>
      <c r="F855" s="1"/>
    </row>
    <row r="856" spans="2:6" ht="15.75" customHeight="1" x14ac:dyDescent="0.25">
      <c r="B856" s="1"/>
      <c r="C856" s="91"/>
      <c r="F856" s="1"/>
    </row>
    <row r="857" spans="2:6" ht="15.75" customHeight="1" x14ac:dyDescent="0.25">
      <c r="B857" s="1"/>
      <c r="C857" s="91"/>
      <c r="F857" s="1"/>
    </row>
    <row r="858" spans="2:6" ht="15.75" customHeight="1" x14ac:dyDescent="0.25">
      <c r="B858" s="1"/>
      <c r="C858" s="91"/>
      <c r="F858" s="1"/>
    </row>
    <row r="859" spans="2:6" ht="15.75" customHeight="1" x14ac:dyDescent="0.25">
      <c r="B859" s="1"/>
      <c r="C859" s="91"/>
      <c r="F859" s="1"/>
    </row>
    <row r="860" spans="2:6" ht="15.75" customHeight="1" x14ac:dyDescent="0.25">
      <c r="B860" s="1"/>
      <c r="C860" s="91"/>
      <c r="F860" s="1"/>
    </row>
    <row r="861" spans="2:6" ht="15.75" customHeight="1" x14ac:dyDescent="0.25">
      <c r="B861" s="1"/>
      <c r="C861" s="91"/>
      <c r="F861" s="1"/>
    </row>
    <row r="862" spans="2:6" ht="15.75" customHeight="1" x14ac:dyDescent="0.25">
      <c r="B862" s="1"/>
      <c r="C862" s="91"/>
      <c r="F862" s="1"/>
    </row>
    <row r="863" spans="2:6" ht="15.75" customHeight="1" x14ac:dyDescent="0.25">
      <c r="B863" s="1"/>
      <c r="C863" s="91"/>
      <c r="F863" s="1"/>
    </row>
    <row r="864" spans="2:6" ht="15.75" customHeight="1" x14ac:dyDescent="0.25">
      <c r="B864" s="1"/>
      <c r="C864" s="91"/>
      <c r="F864" s="1"/>
    </row>
    <row r="865" spans="2:6" ht="15.75" customHeight="1" x14ac:dyDescent="0.25">
      <c r="B865" s="1"/>
      <c r="C865" s="91"/>
      <c r="F865" s="1"/>
    </row>
    <row r="866" spans="2:6" ht="15.75" customHeight="1" x14ac:dyDescent="0.25">
      <c r="B866" s="1"/>
      <c r="C866" s="91"/>
      <c r="F866" s="1"/>
    </row>
    <row r="867" spans="2:6" ht="15.75" customHeight="1" x14ac:dyDescent="0.25">
      <c r="B867" s="1"/>
      <c r="C867" s="91"/>
      <c r="F867" s="1"/>
    </row>
    <row r="868" spans="2:6" ht="15.75" customHeight="1" x14ac:dyDescent="0.25">
      <c r="B868" s="1"/>
      <c r="C868" s="91"/>
      <c r="F868" s="1"/>
    </row>
    <row r="869" spans="2:6" ht="15.75" customHeight="1" x14ac:dyDescent="0.25">
      <c r="B869" s="1"/>
      <c r="C869" s="91"/>
      <c r="F869" s="1"/>
    </row>
    <row r="870" spans="2:6" ht="15.75" customHeight="1" x14ac:dyDescent="0.25">
      <c r="B870" s="1"/>
      <c r="C870" s="91"/>
      <c r="F870" s="1"/>
    </row>
    <row r="871" spans="2:6" ht="15.75" customHeight="1" x14ac:dyDescent="0.25">
      <c r="B871" s="1"/>
      <c r="C871" s="91"/>
      <c r="F871" s="1"/>
    </row>
    <row r="872" spans="2:6" ht="15.75" customHeight="1" x14ac:dyDescent="0.25">
      <c r="B872" s="1"/>
      <c r="C872" s="91"/>
      <c r="F872" s="1"/>
    </row>
    <row r="873" spans="2:6" ht="15.75" customHeight="1" x14ac:dyDescent="0.25">
      <c r="B873" s="1"/>
      <c r="C873" s="91"/>
      <c r="F873" s="1"/>
    </row>
    <row r="874" spans="2:6" ht="15.75" customHeight="1" x14ac:dyDescent="0.25">
      <c r="B874" s="1"/>
      <c r="C874" s="91"/>
      <c r="F874" s="1"/>
    </row>
    <row r="875" spans="2:6" ht="15.75" customHeight="1" x14ac:dyDescent="0.25">
      <c r="B875" s="1"/>
      <c r="C875" s="91"/>
      <c r="F875" s="1"/>
    </row>
    <row r="876" spans="2:6" ht="15.75" customHeight="1" x14ac:dyDescent="0.25">
      <c r="B876" s="1"/>
      <c r="C876" s="91"/>
      <c r="F876" s="1"/>
    </row>
    <row r="877" spans="2:6" ht="15.75" customHeight="1" x14ac:dyDescent="0.25">
      <c r="B877" s="1"/>
      <c r="C877" s="91"/>
      <c r="F877" s="1"/>
    </row>
    <row r="878" spans="2:6" ht="15.75" customHeight="1" x14ac:dyDescent="0.25">
      <c r="B878" s="1"/>
      <c r="C878" s="91"/>
      <c r="F878" s="1"/>
    </row>
    <row r="879" spans="2:6" ht="15.75" customHeight="1" x14ac:dyDescent="0.25">
      <c r="B879" s="1"/>
      <c r="C879" s="91"/>
      <c r="F879" s="1"/>
    </row>
    <row r="880" spans="2:6" ht="15.75" customHeight="1" x14ac:dyDescent="0.25">
      <c r="B880" s="1"/>
      <c r="C880" s="91"/>
      <c r="F880" s="1"/>
    </row>
    <row r="881" spans="2:6" ht="15.75" customHeight="1" x14ac:dyDescent="0.25">
      <c r="B881" s="1"/>
      <c r="C881" s="91"/>
      <c r="F881" s="1"/>
    </row>
    <row r="882" spans="2:6" ht="15.75" customHeight="1" x14ac:dyDescent="0.25">
      <c r="B882" s="1"/>
      <c r="C882" s="91"/>
      <c r="F882" s="1"/>
    </row>
    <row r="883" spans="2:6" ht="15.75" customHeight="1" x14ac:dyDescent="0.25">
      <c r="B883" s="1"/>
      <c r="C883" s="91"/>
      <c r="F883" s="1"/>
    </row>
    <row r="884" spans="2:6" ht="15.75" customHeight="1" x14ac:dyDescent="0.25">
      <c r="B884" s="1"/>
      <c r="C884" s="91"/>
      <c r="F884" s="1"/>
    </row>
    <row r="885" spans="2:6" ht="15.75" customHeight="1" x14ac:dyDescent="0.25">
      <c r="B885" s="1"/>
      <c r="C885" s="91"/>
      <c r="F885" s="1"/>
    </row>
    <row r="886" spans="2:6" ht="15.75" customHeight="1" x14ac:dyDescent="0.25">
      <c r="B886" s="1"/>
      <c r="C886" s="91"/>
      <c r="F886" s="1"/>
    </row>
    <row r="887" spans="2:6" ht="15.75" customHeight="1" x14ac:dyDescent="0.25">
      <c r="B887" s="1"/>
      <c r="C887" s="91"/>
      <c r="F887" s="1"/>
    </row>
    <row r="888" spans="2:6" ht="15.75" customHeight="1" x14ac:dyDescent="0.25">
      <c r="B888" s="1"/>
      <c r="C888" s="91"/>
      <c r="F888" s="1"/>
    </row>
    <row r="889" spans="2:6" ht="15.75" customHeight="1" x14ac:dyDescent="0.25">
      <c r="B889" s="1"/>
      <c r="C889" s="91"/>
      <c r="F889" s="1"/>
    </row>
    <row r="890" spans="2:6" ht="15.75" customHeight="1" x14ac:dyDescent="0.25">
      <c r="B890" s="1"/>
      <c r="C890" s="91"/>
      <c r="F890" s="1"/>
    </row>
    <row r="891" spans="2:6" ht="15.75" customHeight="1" x14ac:dyDescent="0.25">
      <c r="B891" s="1"/>
      <c r="C891" s="91"/>
      <c r="F891" s="1"/>
    </row>
    <row r="892" spans="2:6" ht="15.75" customHeight="1" x14ac:dyDescent="0.25">
      <c r="B892" s="1"/>
      <c r="C892" s="91"/>
      <c r="F892" s="1"/>
    </row>
    <row r="893" spans="2:6" ht="15.75" customHeight="1" x14ac:dyDescent="0.25">
      <c r="B893" s="1"/>
      <c r="C893" s="91"/>
      <c r="F893" s="1"/>
    </row>
    <row r="894" spans="2:6" ht="15.75" customHeight="1" x14ac:dyDescent="0.25">
      <c r="B894" s="1"/>
      <c r="C894" s="91"/>
      <c r="F894" s="1"/>
    </row>
    <row r="895" spans="2:6" ht="15.75" customHeight="1" x14ac:dyDescent="0.25">
      <c r="B895" s="1"/>
      <c r="C895" s="91"/>
      <c r="F895" s="1"/>
    </row>
    <row r="896" spans="2:6" ht="15.75" customHeight="1" x14ac:dyDescent="0.25">
      <c r="B896" s="1"/>
      <c r="C896" s="91"/>
      <c r="F896" s="1"/>
    </row>
    <row r="897" spans="2:6" ht="15.75" customHeight="1" x14ac:dyDescent="0.25">
      <c r="B897" s="1"/>
      <c r="C897" s="91"/>
      <c r="F897" s="1"/>
    </row>
    <row r="898" spans="2:6" ht="15.75" customHeight="1" x14ac:dyDescent="0.25">
      <c r="B898" s="1"/>
      <c r="C898" s="91"/>
      <c r="F898" s="1"/>
    </row>
    <row r="899" spans="2:6" ht="15.75" customHeight="1" x14ac:dyDescent="0.25">
      <c r="B899" s="1"/>
      <c r="C899" s="91"/>
      <c r="F899" s="1"/>
    </row>
    <row r="900" spans="2:6" ht="15.75" customHeight="1" x14ac:dyDescent="0.25">
      <c r="B900" s="1"/>
      <c r="C900" s="91"/>
      <c r="F900" s="1"/>
    </row>
    <row r="901" spans="2:6" ht="15.75" customHeight="1" x14ac:dyDescent="0.25">
      <c r="B901" s="1"/>
      <c r="C901" s="91"/>
      <c r="F901" s="1"/>
    </row>
    <row r="902" spans="2:6" ht="15.75" customHeight="1" x14ac:dyDescent="0.25">
      <c r="B902" s="1"/>
      <c r="C902" s="91"/>
      <c r="F902" s="1"/>
    </row>
    <row r="903" spans="2:6" ht="15.75" customHeight="1" x14ac:dyDescent="0.25">
      <c r="B903" s="1"/>
      <c r="C903" s="91"/>
      <c r="F903" s="1"/>
    </row>
    <row r="904" spans="2:6" ht="15.75" customHeight="1" x14ac:dyDescent="0.25">
      <c r="B904" s="1"/>
      <c r="C904" s="91"/>
      <c r="F904" s="1"/>
    </row>
    <row r="905" spans="2:6" ht="15.75" customHeight="1" x14ac:dyDescent="0.25">
      <c r="B905" s="1"/>
      <c r="C905" s="91"/>
      <c r="F905" s="1"/>
    </row>
    <row r="906" spans="2:6" ht="15.75" customHeight="1" x14ac:dyDescent="0.25">
      <c r="B906" s="1"/>
      <c r="C906" s="91"/>
      <c r="F906" s="1"/>
    </row>
    <row r="907" spans="2:6" ht="15.75" customHeight="1" x14ac:dyDescent="0.25">
      <c r="B907" s="1"/>
      <c r="C907" s="91"/>
      <c r="F907" s="1"/>
    </row>
    <row r="908" spans="2:6" ht="15.75" customHeight="1" x14ac:dyDescent="0.25">
      <c r="B908" s="1"/>
      <c r="C908" s="91"/>
      <c r="F908" s="1"/>
    </row>
    <row r="909" spans="2:6" ht="15.75" customHeight="1" x14ac:dyDescent="0.25">
      <c r="B909" s="1"/>
      <c r="C909" s="91"/>
      <c r="F909" s="1"/>
    </row>
    <row r="910" spans="2:6" ht="15.75" customHeight="1" x14ac:dyDescent="0.25">
      <c r="B910" s="1"/>
      <c r="C910" s="91"/>
      <c r="F910" s="1"/>
    </row>
    <row r="911" spans="2:6" ht="15.75" customHeight="1" x14ac:dyDescent="0.25">
      <c r="B911" s="1"/>
      <c r="C911" s="91"/>
      <c r="F911" s="1"/>
    </row>
    <row r="912" spans="2:6" ht="15.75" customHeight="1" x14ac:dyDescent="0.25">
      <c r="B912" s="1"/>
      <c r="C912" s="91"/>
      <c r="F912" s="1"/>
    </row>
    <row r="913" spans="2:6" ht="15.75" customHeight="1" x14ac:dyDescent="0.25">
      <c r="B913" s="1"/>
      <c r="C913" s="91"/>
      <c r="F913" s="1"/>
    </row>
    <row r="914" spans="2:6" ht="15.75" customHeight="1" x14ac:dyDescent="0.25">
      <c r="B914" s="1"/>
      <c r="C914" s="91"/>
      <c r="F914" s="1"/>
    </row>
    <row r="915" spans="2:6" ht="15.75" customHeight="1" x14ac:dyDescent="0.25">
      <c r="B915" s="1"/>
      <c r="C915" s="91"/>
      <c r="F915" s="1"/>
    </row>
    <row r="916" spans="2:6" ht="15.75" customHeight="1" x14ac:dyDescent="0.25">
      <c r="B916" s="1"/>
      <c r="C916" s="91"/>
      <c r="F916" s="1"/>
    </row>
    <row r="917" spans="2:6" ht="15.75" customHeight="1" x14ac:dyDescent="0.25">
      <c r="B917" s="1"/>
      <c r="C917" s="91"/>
      <c r="F917" s="1"/>
    </row>
    <row r="918" spans="2:6" ht="15.75" customHeight="1" x14ac:dyDescent="0.25">
      <c r="B918" s="1"/>
      <c r="C918" s="91"/>
      <c r="F918" s="1"/>
    </row>
    <row r="919" spans="2:6" ht="15.75" customHeight="1" x14ac:dyDescent="0.25">
      <c r="B919" s="1"/>
      <c r="C919" s="91"/>
      <c r="F919" s="1"/>
    </row>
    <row r="920" spans="2:6" ht="15.75" customHeight="1" x14ac:dyDescent="0.25">
      <c r="B920" s="1"/>
      <c r="C920" s="91"/>
      <c r="F920" s="1"/>
    </row>
    <row r="921" spans="2:6" ht="15.75" customHeight="1" x14ac:dyDescent="0.25">
      <c r="B921" s="1"/>
      <c r="C921" s="91"/>
      <c r="F921" s="1"/>
    </row>
    <row r="922" spans="2:6" ht="15.75" customHeight="1" x14ac:dyDescent="0.25">
      <c r="B922" s="1"/>
      <c r="C922" s="91"/>
      <c r="F922" s="1"/>
    </row>
    <row r="923" spans="2:6" ht="15.75" customHeight="1" x14ac:dyDescent="0.25">
      <c r="B923" s="1"/>
      <c r="C923" s="91"/>
      <c r="F923" s="1"/>
    </row>
    <row r="924" spans="2:6" ht="15.75" customHeight="1" x14ac:dyDescent="0.25">
      <c r="B924" s="1"/>
      <c r="C924" s="91"/>
      <c r="F924" s="1"/>
    </row>
    <row r="925" spans="2:6" ht="15.75" customHeight="1" x14ac:dyDescent="0.25">
      <c r="B925" s="1"/>
      <c r="C925" s="91"/>
      <c r="F925" s="1"/>
    </row>
    <row r="926" spans="2:6" ht="15.75" customHeight="1" x14ac:dyDescent="0.25">
      <c r="B926" s="1"/>
      <c r="C926" s="91"/>
      <c r="F926" s="1"/>
    </row>
    <row r="927" spans="2:6" ht="15.75" customHeight="1" x14ac:dyDescent="0.25">
      <c r="B927" s="1"/>
      <c r="C927" s="91"/>
      <c r="F927" s="1"/>
    </row>
    <row r="928" spans="2:6" ht="15.75" customHeight="1" x14ac:dyDescent="0.25">
      <c r="B928" s="1"/>
      <c r="C928" s="91"/>
      <c r="F928" s="1"/>
    </row>
    <row r="929" spans="2:6" ht="15.75" customHeight="1" x14ac:dyDescent="0.25">
      <c r="B929" s="1"/>
      <c r="C929" s="91"/>
      <c r="F929" s="1"/>
    </row>
    <row r="930" spans="2:6" ht="15.75" customHeight="1" x14ac:dyDescent="0.25">
      <c r="B930" s="1"/>
      <c r="C930" s="91"/>
      <c r="F930" s="1"/>
    </row>
    <row r="931" spans="2:6" ht="15.75" customHeight="1" x14ac:dyDescent="0.25">
      <c r="B931" s="1"/>
      <c r="C931" s="91"/>
      <c r="F931" s="1"/>
    </row>
    <row r="932" spans="2:6" ht="15.75" customHeight="1" x14ac:dyDescent="0.25">
      <c r="B932" s="1"/>
      <c r="C932" s="91"/>
      <c r="F932" s="1"/>
    </row>
    <row r="933" spans="2:6" ht="15.75" customHeight="1" x14ac:dyDescent="0.25">
      <c r="B933" s="1"/>
      <c r="C933" s="91"/>
      <c r="F933" s="1"/>
    </row>
    <row r="934" spans="2:6" ht="15.75" customHeight="1" x14ac:dyDescent="0.25">
      <c r="B934" s="1"/>
      <c r="C934" s="91"/>
      <c r="F934" s="1"/>
    </row>
    <row r="935" spans="2:6" ht="15.75" customHeight="1" x14ac:dyDescent="0.25">
      <c r="B935" s="1"/>
      <c r="C935" s="91"/>
      <c r="F935" s="1"/>
    </row>
    <row r="936" spans="2:6" ht="15.75" customHeight="1" x14ac:dyDescent="0.25">
      <c r="B936" s="1"/>
      <c r="C936" s="91"/>
      <c r="F936" s="1"/>
    </row>
    <row r="937" spans="2:6" ht="15.75" customHeight="1" x14ac:dyDescent="0.25">
      <c r="B937" s="1"/>
      <c r="C937" s="91"/>
      <c r="F937" s="1"/>
    </row>
    <row r="938" spans="2:6" ht="15.75" customHeight="1" x14ac:dyDescent="0.25">
      <c r="B938" s="1"/>
      <c r="C938" s="91"/>
      <c r="F938" s="1"/>
    </row>
    <row r="939" spans="2:6" ht="15.75" customHeight="1" x14ac:dyDescent="0.25">
      <c r="B939" s="1"/>
      <c r="C939" s="91"/>
      <c r="F939" s="1"/>
    </row>
    <row r="940" spans="2:6" ht="15.75" customHeight="1" x14ac:dyDescent="0.25">
      <c r="B940" s="1"/>
      <c r="C940" s="91"/>
      <c r="F940" s="1"/>
    </row>
    <row r="941" spans="2:6" ht="15.75" customHeight="1" x14ac:dyDescent="0.25">
      <c r="B941" s="1"/>
      <c r="C941" s="91"/>
      <c r="F941" s="1"/>
    </row>
    <row r="942" spans="2:6" ht="15.75" customHeight="1" x14ac:dyDescent="0.25">
      <c r="B942" s="1"/>
      <c r="C942" s="91"/>
      <c r="F942" s="1"/>
    </row>
    <row r="943" spans="2:6" ht="15.75" customHeight="1" x14ac:dyDescent="0.25">
      <c r="B943" s="1"/>
      <c r="C943" s="91"/>
      <c r="F943" s="1"/>
    </row>
    <row r="944" spans="2:6" ht="15.75" customHeight="1" x14ac:dyDescent="0.25">
      <c r="B944" s="1"/>
      <c r="C944" s="91"/>
      <c r="F944" s="1"/>
    </row>
    <row r="945" spans="2:6" ht="15.75" customHeight="1" x14ac:dyDescent="0.25">
      <c r="B945" s="1"/>
      <c r="C945" s="91"/>
      <c r="F945" s="1"/>
    </row>
    <row r="946" spans="2:6" ht="15.75" customHeight="1" x14ac:dyDescent="0.25">
      <c r="B946" s="1"/>
      <c r="C946" s="91"/>
      <c r="F946" s="1"/>
    </row>
    <row r="947" spans="2:6" ht="15.75" customHeight="1" x14ac:dyDescent="0.25">
      <c r="B947" s="1"/>
      <c r="C947" s="91"/>
      <c r="F947" s="1"/>
    </row>
    <row r="948" spans="2:6" ht="15.75" customHeight="1" x14ac:dyDescent="0.25">
      <c r="B948" s="1"/>
      <c r="C948" s="91"/>
      <c r="F948" s="1"/>
    </row>
    <row r="949" spans="2:6" ht="15.75" customHeight="1" x14ac:dyDescent="0.25">
      <c r="B949" s="1"/>
      <c r="C949" s="91"/>
      <c r="F949" s="1"/>
    </row>
    <row r="950" spans="2:6" ht="15.75" customHeight="1" x14ac:dyDescent="0.25">
      <c r="B950" s="1"/>
      <c r="C950" s="91"/>
      <c r="F950" s="1"/>
    </row>
    <row r="951" spans="2:6" ht="15.75" customHeight="1" x14ac:dyDescent="0.25">
      <c r="B951" s="1"/>
      <c r="C951" s="91"/>
      <c r="F951" s="1"/>
    </row>
    <row r="952" spans="2:6" ht="15.75" customHeight="1" x14ac:dyDescent="0.25">
      <c r="B952" s="1"/>
      <c r="C952" s="91"/>
      <c r="F952" s="1"/>
    </row>
    <row r="953" spans="2:6" ht="15.75" customHeight="1" x14ac:dyDescent="0.25">
      <c r="B953" s="1"/>
      <c r="C953" s="91"/>
      <c r="F953" s="1"/>
    </row>
    <row r="954" spans="2:6" ht="15.75" customHeight="1" x14ac:dyDescent="0.25">
      <c r="B954" s="1"/>
      <c r="C954" s="91"/>
      <c r="F954" s="1"/>
    </row>
    <row r="955" spans="2:6" ht="15.75" customHeight="1" x14ac:dyDescent="0.25">
      <c r="B955" s="1"/>
      <c r="C955" s="91"/>
      <c r="F955" s="1"/>
    </row>
    <row r="956" spans="2:6" ht="15.75" customHeight="1" x14ac:dyDescent="0.25">
      <c r="B956" s="1"/>
      <c r="C956" s="91"/>
      <c r="F956" s="1"/>
    </row>
    <row r="957" spans="2:6" ht="15.75" customHeight="1" x14ac:dyDescent="0.25">
      <c r="B957" s="1"/>
      <c r="C957" s="91"/>
      <c r="F957" s="1"/>
    </row>
    <row r="958" spans="2:6" ht="15.75" customHeight="1" x14ac:dyDescent="0.25">
      <c r="B958" s="1"/>
      <c r="C958" s="91"/>
      <c r="F958" s="1"/>
    </row>
    <row r="959" spans="2:6" ht="15.75" customHeight="1" x14ac:dyDescent="0.25">
      <c r="B959" s="1"/>
      <c r="C959" s="91"/>
      <c r="F959" s="1"/>
    </row>
    <row r="960" spans="2:6" ht="15.75" customHeight="1" x14ac:dyDescent="0.25">
      <c r="B960" s="1"/>
      <c r="C960" s="91"/>
      <c r="F960" s="1"/>
    </row>
    <row r="961" spans="2:6" ht="15.75" customHeight="1" x14ac:dyDescent="0.25">
      <c r="B961" s="1"/>
      <c r="C961" s="91"/>
      <c r="F961" s="1"/>
    </row>
    <row r="962" spans="2:6" ht="15.75" customHeight="1" x14ac:dyDescent="0.25">
      <c r="B962" s="1"/>
      <c r="C962" s="91"/>
      <c r="F962" s="1"/>
    </row>
    <row r="963" spans="2:6" ht="15.75" customHeight="1" x14ac:dyDescent="0.25">
      <c r="B963" s="1"/>
      <c r="C963" s="91"/>
      <c r="F963" s="1"/>
    </row>
    <row r="964" spans="2:6" ht="15.75" customHeight="1" x14ac:dyDescent="0.25">
      <c r="B964" s="1"/>
      <c r="C964" s="91"/>
      <c r="F964" s="1"/>
    </row>
    <row r="965" spans="2:6" ht="15.75" customHeight="1" x14ac:dyDescent="0.25">
      <c r="B965" s="1"/>
      <c r="C965" s="91"/>
      <c r="F965" s="1"/>
    </row>
    <row r="966" spans="2:6" ht="15.75" customHeight="1" x14ac:dyDescent="0.25">
      <c r="B966" s="1"/>
      <c r="C966" s="91"/>
      <c r="F966" s="1"/>
    </row>
    <row r="967" spans="2:6" ht="15.75" customHeight="1" x14ac:dyDescent="0.25">
      <c r="B967" s="1"/>
      <c r="C967" s="91"/>
      <c r="F967" s="1"/>
    </row>
    <row r="968" spans="2:6" ht="15.75" customHeight="1" x14ac:dyDescent="0.25">
      <c r="B968" s="1"/>
      <c r="C968" s="91"/>
      <c r="F968" s="1"/>
    </row>
    <row r="969" spans="2:6" ht="15.75" customHeight="1" x14ac:dyDescent="0.25">
      <c r="B969" s="1"/>
      <c r="C969" s="91"/>
      <c r="F969" s="1"/>
    </row>
    <row r="970" spans="2:6" ht="15.75" customHeight="1" x14ac:dyDescent="0.25">
      <c r="B970" s="1"/>
      <c r="C970" s="91"/>
      <c r="F970" s="1"/>
    </row>
    <row r="971" spans="2:6" ht="15.75" customHeight="1" x14ac:dyDescent="0.25">
      <c r="B971" s="1"/>
      <c r="C971" s="91"/>
      <c r="F971" s="1"/>
    </row>
    <row r="972" spans="2:6" ht="15.75" customHeight="1" x14ac:dyDescent="0.25">
      <c r="B972" s="1"/>
      <c r="C972" s="91"/>
      <c r="F972" s="1"/>
    </row>
    <row r="973" spans="2:6" ht="15.75" customHeight="1" x14ac:dyDescent="0.25">
      <c r="B973" s="1"/>
      <c r="C973" s="91"/>
      <c r="F973" s="1"/>
    </row>
    <row r="974" spans="2:6" ht="15.75" customHeight="1" x14ac:dyDescent="0.25">
      <c r="B974" s="1"/>
      <c r="C974" s="91"/>
      <c r="F974" s="1"/>
    </row>
    <row r="975" spans="2:6" ht="15.75" customHeight="1" x14ac:dyDescent="0.25">
      <c r="B975" s="1"/>
      <c r="C975" s="91"/>
      <c r="F975" s="1"/>
    </row>
    <row r="976" spans="2:6" ht="15.75" customHeight="1" x14ac:dyDescent="0.25">
      <c r="B976" s="1"/>
      <c r="C976" s="91"/>
      <c r="F976" s="1"/>
    </row>
    <row r="977" spans="2:6" ht="15.75" customHeight="1" x14ac:dyDescent="0.25">
      <c r="B977" s="1"/>
      <c r="C977" s="91"/>
      <c r="F977" s="1"/>
    </row>
    <row r="978" spans="2:6" ht="15.75" customHeight="1" x14ac:dyDescent="0.25">
      <c r="B978" s="1"/>
      <c r="C978" s="91"/>
      <c r="F978" s="1"/>
    </row>
    <row r="979" spans="2:6" ht="15.75" customHeight="1" x14ac:dyDescent="0.25">
      <c r="B979" s="1"/>
      <c r="C979" s="91"/>
      <c r="F979" s="1"/>
    </row>
    <row r="980" spans="2:6" ht="15.75" customHeight="1" x14ac:dyDescent="0.25">
      <c r="B980" s="1"/>
      <c r="C980" s="91"/>
      <c r="F980" s="1"/>
    </row>
    <row r="981" spans="2:6" ht="15.75" customHeight="1" x14ac:dyDescent="0.25">
      <c r="B981" s="1"/>
      <c r="C981" s="91"/>
      <c r="F981" s="1"/>
    </row>
    <row r="982" spans="2:6" ht="15.75" customHeight="1" x14ac:dyDescent="0.25">
      <c r="B982" s="1"/>
      <c r="C982" s="91"/>
      <c r="F982" s="1"/>
    </row>
    <row r="983" spans="2:6" ht="15.75" customHeight="1" x14ac:dyDescent="0.25">
      <c r="B983" s="1"/>
      <c r="C983" s="91"/>
      <c r="F983" s="1"/>
    </row>
    <row r="984" spans="2:6" ht="15.75" customHeight="1" x14ac:dyDescent="0.25">
      <c r="B984" s="1"/>
      <c r="C984" s="91"/>
      <c r="F984" s="1"/>
    </row>
    <row r="985" spans="2:6" ht="15.75" customHeight="1" x14ac:dyDescent="0.25">
      <c r="B985" s="1"/>
      <c r="C985" s="91"/>
      <c r="F985" s="1"/>
    </row>
    <row r="986" spans="2:6" ht="15.75" customHeight="1" x14ac:dyDescent="0.25">
      <c r="B986" s="1"/>
      <c r="C986" s="91"/>
      <c r="F986" s="1"/>
    </row>
    <row r="987" spans="2:6" ht="15.75" customHeight="1" x14ac:dyDescent="0.25">
      <c r="B987" s="1"/>
      <c r="C987" s="91"/>
      <c r="F987" s="1"/>
    </row>
    <row r="988" spans="2:6" ht="15.75" customHeight="1" x14ac:dyDescent="0.25">
      <c r="B988" s="1"/>
      <c r="C988" s="91"/>
      <c r="F988" s="1"/>
    </row>
    <row r="989" spans="2:6" ht="15.75" customHeight="1" x14ac:dyDescent="0.25">
      <c r="B989" s="1"/>
      <c r="C989" s="91"/>
      <c r="F989" s="1"/>
    </row>
    <row r="990" spans="2:6" ht="15.75" customHeight="1" x14ac:dyDescent="0.25">
      <c r="B990" s="1"/>
      <c r="C990" s="91"/>
      <c r="F990" s="1"/>
    </row>
    <row r="991" spans="2:6" ht="15.75" customHeight="1" x14ac:dyDescent="0.25">
      <c r="B991" s="1"/>
      <c r="C991" s="91"/>
      <c r="F991" s="1"/>
    </row>
    <row r="992" spans="2:6" ht="15.75" customHeight="1" x14ac:dyDescent="0.25">
      <c r="B992" s="1"/>
      <c r="C992" s="91"/>
      <c r="F992" s="1"/>
    </row>
    <row r="993" spans="2:6" ht="15.75" customHeight="1" x14ac:dyDescent="0.25">
      <c r="B993" s="1"/>
      <c r="C993" s="91"/>
      <c r="F993" s="1"/>
    </row>
  </sheetData>
  <sheetProtection algorithmName="SHA-512" hashValue="vCFLEjOxpcOyGcM9E8HlaCGI8ep3NJhfqhiq5JMEMyGJcgP9PuxUCmYXw5OqbxtSXwALKKWTpI/1EJ7/yoB7Bw==" saltValue="PSHRj4EGVw9jfh+d1syOfw==" spinCount="100000" sheet="1" objects="1" scenarios="1" formatCells="0" formatColumns="0" formatRows="0" insertColumns="0" insertRows="0" insertHyperlinks="0" sort="0" autoFilter="0" pivotTables="0"/>
  <mergeCells count="4">
    <mergeCell ref="C127:E127"/>
    <mergeCell ref="F127:H127"/>
    <mergeCell ref="I127:K127"/>
    <mergeCell ref="L127:N127"/>
  </mergeCells>
  <hyperlinks>
    <hyperlink ref="E92" r:id="rId1" xr:uid="{00000000-0004-0000-0000-000000000000}"/>
    <hyperlink ref="B110" r:id="rId2" location=":~:text=Toronto's%20drinking%20water%20is%20sourced,softening%20systems%20are%20generally%20unnecessary." xr:uid="{F4B14558-94D2-4888-99B7-DE0FA8A0218D}"/>
    <hyperlink ref="B108" r:id="rId3" xr:uid="{107467B9-1985-4494-9B3D-8F117ED89B53}"/>
    <hyperlink ref="B109" r:id="rId4" xr:uid="{DFC6539E-691A-44D3-AC6F-A0B96CDD483A}"/>
  </hyperlinks>
  <pageMargins left="0.7" right="0.7" top="0.75" bottom="0.75" header="0" footer="0"/>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AC08D-B905-43FA-A756-5D89CB50FC20}">
  <dimension ref="B1:K130"/>
  <sheetViews>
    <sheetView showGridLines="0" topLeftCell="B56" zoomScale="85" zoomScaleNormal="85" workbookViewId="0">
      <selection activeCell="C82" sqref="C82"/>
    </sheetView>
  </sheetViews>
  <sheetFormatPr defaultRowHeight="15" x14ac:dyDescent="0.25"/>
  <cols>
    <col min="1" max="1" width="3.140625" style="53" customWidth="1"/>
    <col min="2" max="2" width="57.5703125" style="67" customWidth="1"/>
    <col min="3" max="3" width="31.7109375" style="53" customWidth="1"/>
    <col min="4" max="4" width="31.140625" style="53" customWidth="1"/>
    <col min="5" max="5" width="126.5703125" style="53" bestFit="1" customWidth="1"/>
    <col min="6" max="6" width="63" style="53" customWidth="1"/>
    <col min="7" max="7" width="62.5703125" style="53" customWidth="1"/>
    <col min="8" max="16384" width="9.140625" style="53"/>
  </cols>
  <sheetData>
    <row r="1" spans="2:11" ht="18.75" x14ac:dyDescent="0.25">
      <c r="B1" s="51" t="s">
        <v>53</v>
      </c>
      <c r="C1" s="52"/>
      <c r="D1" s="52"/>
      <c r="E1" s="52"/>
      <c r="F1" s="52"/>
      <c r="G1" s="52"/>
    </row>
    <row r="2" spans="2:11" s="119" customFormat="1" ht="18.75" x14ac:dyDescent="0.25">
      <c r="B2" s="225"/>
      <c r="C2" s="226"/>
      <c r="D2" s="226"/>
      <c r="E2" s="226"/>
      <c r="F2" s="226"/>
      <c r="G2" s="226"/>
    </row>
    <row r="3" spans="2:11" x14ac:dyDescent="0.25">
      <c r="B3" s="55" t="s">
        <v>227</v>
      </c>
    </row>
    <row r="4" spans="2:11" ht="30" x14ac:dyDescent="0.25">
      <c r="B4" s="179" t="s">
        <v>266</v>
      </c>
      <c r="C4" s="180" t="s">
        <v>267</v>
      </c>
    </row>
    <row r="5" spans="2:11" ht="30" x14ac:dyDescent="0.25">
      <c r="B5" s="181" t="s">
        <v>268</v>
      </c>
      <c r="C5" s="182" t="s">
        <v>269</v>
      </c>
    </row>
    <row r="6" spans="2:11" x14ac:dyDescent="0.25">
      <c r="B6" s="55"/>
    </row>
    <row r="7" spans="2:11" x14ac:dyDescent="0.25">
      <c r="B7" s="54" t="s">
        <v>72</v>
      </c>
      <c r="C7" s="55" t="s">
        <v>43</v>
      </c>
      <c r="D7" s="55" t="s">
        <v>70</v>
      </c>
      <c r="E7" s="55" t="s">
        <v>44</v>
      </c>
      <c r="F7" s="55"/>
      <c r="K7" s="189" t="s">
        <v>273</v>
      </c>
    </row>
    <row r="8" spans="2:11" x14ac:dyDescent="0.25">
      <c r="B8" s="196" t="s">
        <v>82</v>
      </c>
      <c r="C8" s="199">
        <v>135</v>
      </c>
      <c r="D8" s="197" t="s">
        <v>283</v>
      </c>
      <c r="E8" s="140"/>
      <c r="F8" s="55"/>
      <c r="K8" s="189"/>
    </row>
    <row r="9" spans="2:11" x14ac:dyDescent="0.25">
      <c r="B9" s="138" t="s">
        <v>83</v>
      </c>
      <c r="C9" s="200">
        <v>6</v>
      </c>
      <c r="D9" s="139" t="s">
        <v>210</v>
      </c>
      <c r="E9" s="28" t="s">
        <v>74</v>
      </c>
      <c r="F9" s="55"/>
      <c r="K9" s="117"/>
    </row>
    <row r="10" spans="2:11" x14ac:dyDescent="0.25">
      <c r="B10" s="138" t="s">
        <v>84</v>
      </c>
      <c r="C10" s="200">
        <v>52</v>
      </c>
      <c r="D10" s="139" t="s">
        <v>211</v>
      </c>
      <c r="E10" s="140"/>
      <c r="F10" s="55"/>
      <c r="K10" s="117"/>
    </row>
    <row r="11" spans="2:11" x14ac:dyDescent="0.25">
      <c r="B11" s="138" t="s">
        <v>25</v>
      </c>
      <c r="C11" s="198">
        <f>C8*C9*C10</f>
        <v>42120</v>
      </c>
      <c r="D11" s="141" t="s">
        <v>218</v>
      </c>
      <c r="E11" s="197" t="s">
        <v>121</v>
      </c>
      <c r="F11" s="55"/>
      <c r="K11" s="117"/>
    </row>
    <row r="12" spans="2:11" x14ac:dyDescent="0.25">
      <c r="B12" s="64" t="s">
        <v>73</v>
      </c>
      <c r="C12" s="201">
        <v>2</v>
      </c>
      <c r="D12" s="139" t="s">
        <v>194</v>
      </c>
      <c r="E12" s="66" t="s">
        <v>75</v>
      </c>
    </row>
    <row r="13" spans="2:11" x14ac:dyDescent="0.25">
      <c r="B13" s="126" t="s">
        <v>225</v>
      </c>
      <c r="C13" s="201">
        <v>1</v>
      </c>
      <c r="D13" s="139" t="s">
        <v>194</v>
      </c>
      <c r="E13" s="66" t="s">
        <v>74</v>
      </c>
      <c r="F13" s="55"/>
    </row>
    <row r="14" spans="2:11" x14ac:dyDescent="0.25">
      <c r="B14" s="138" t="s">
        <v>193</v>
      </c>
      <c r="C14" s="201">
        <v>1</v>
      </c>
      <c r="D14" s="139" t="s">
        <v>194</v>
      </c>
      <c r="E14" s="66" t="s">
        <v>74</v>
      </c>
      <c r="F14" s="55"/>
    </row>
    <row r="15" spans="2:11" x14ac:dyDescent="0.25">
      <c r="B15" s="64" t="s">
        <v>103</v>
      </c>
      <c r="C15" s="202"/>
      <c r="D15" s="66" t="s">
        <v>104</v>
      </c>
      <c r="E15" s="141" t="s">
        <v>220</v>
      </c>
    </row>
    <row r="16" spans="2:11" x14ac:dyDescent="0.25">
      <c r="B16" s="56"/>
      <c r="D16" s="57"/>
      <c r="E16" s="57"/>
    </row>
    <row r="17" spans="2:6" x14ac:dyDescent="0.25">
      <c r="B17" s="54" t="s">
        <v>111</v>
      </c>
      <c r="C17" s="55" t="s">
        <v>43</v>
      </c>
      <c r="D17" s="55" t="s">
        <v>70</v>
      </c>
      <c r="E17" s="55" t="s">
        <v>44</v>
      </c>
    </row>
    <row r="18" spans="2:6" x14ac:dyDescent="0.25">
      <c r="B18" s="54" t="s">
        <v>59</v>
      </c>
      <c r="C18" s="55"/>
      <c r="D18" s="55"/>
      <c r="E18" s="55"/>
    </row>
    <row r="19" spans="2:6" x14ac:dyDescent="0.25">
      <c r="B19" s="203" t="s">
        <v>189</v>
      </c>
      <c r="C19" s="205">
        <v>41</v>
      </c>
      <c r="D19" s="139" t="s">
        <v>190</v>
      </c>
      <c r="E19" s="142"/>
    </row>
    <row r="20" spans="2:6" x14ac:dyDescent="0.25">
      <c r="B20" s="204" t="s">
        <v>262</v>
      </c>
      <c r="C20" s="205" t="s">
        <v>257</v>
      </c>
      <c r="D20" s="139" t="s">
        <v>91</v>
      </c>
      <c r="E20" s="144" t="s">
        <v>263</v>
      </c>
    </row>
    <row r="21" spans="2:6" x14ac:dyDescent="0.25">
      <c r="B21" s="152" t="s">
        <v>265</v>
      </c>
      <c r="C21"/>
      <c r="D21"/>
      <c r="E21"/>
    </row>
    <row r="22" spans="2:6" x14ac:dyDescent="0.25">
      <c r="B22" s="203" t="s">
        <v>189</v>
      </c>
      <c r="C22" s="205">
        <v>41</v>
      </c>
      <c r="D22" s="139" t="s">
        <v>190</v>
      </c>
      <c r="E22" s="142"/>
    </row>
    <row r="23" spans="2:6" x14ac:dyDescent="0.25">
      <c r="B23" s="204" t="s">
        <v>262</v>
      </c>
      <c r="C23" s="205" t="s">
        <v>257</v>
      </c>
      <c r="D23" s="139" t="s">
        <v>91</v>
      </c>
      <c r="E23" s="144" t="s">
        <v>263</v>
      </c>
    </row>
    <row r="25" spans="2:6" x14ac:dyDescent="0.25">
      <c r="B25" s="54" t="s">
        <v>59</v>
      </c>
      <c r="C25" s="55" t="s">
        <v>43</v>
      </c>
      <c r="D25" s="55" t="s">
        <v>70</v>
      </c>
      <c r="E25" s="55" t="s">
        <v>44</v>
      </c>
      <c r="F25" s="55"/>
    </row>
    <row r="26" spans="2:6" x14ac:dyDescent="0.25">
      <c r="B26" s="64" t="s">
        <v>69</v>
      </c>
      <c r="C26" s="205">
        <v>1</v>
      </c>
      <c r="D26" s="66" t="s">
        <v>71</v>
      </c>
      <c r="E26" s="66" t="s">
        <v>74</v>
      </c>
    </row>
    <row r="27" spans="2:6" x14ac:dyDescent="0.25">
      <c r="B27" s="64" t="s">
        <v>92</v>
      </c>
      <c r="C27" s="205">
        <v>1.0049999999999999</v>
      </c>
      <c r="D27" s="66" t="s">
        <v>93</v>
      </c>
      <c r="E27" s="66" t="s">
        <v>94</v>
      </c>
      <c r="F27" s="59"/>
    </row>
    <row r="28" spans="2:6" x14ac:dyDescent="0.25">
      <c r="B28" s="64" t="s">
        <v>85</v>
      </c>
      <c r="C28" s="201" t="s">
        <v>87</v>
      </c>
      <c r="D28" s="66" t="s">
        <v>91</v>
      </c>
      <c r="E28" s="143" t="s">
        <v>74</v>
      </c>
      <c r="F28" s="59"/>
    </row>
    <row r="29" spans="2:6" x14ac:dyDescent="0.25">
      <c r="B29" s="64" t="s">
        <v>86</v>
      </c>
      <c r="C29" s="205">
        <v>35.4</v>
      </c>
      <c r="D29" s="139" t="s">
        <v>191</v>
      </c>
      <c r="E29" s="144" t="s">
        <v>192</v>
      </c>
    </row>
    <row r="30" spans="2:6" x14ac:dyDescent="0.25">
      <c r="B30" s="126" t="s">
        <v>241</v>
      </c>
      <c r="C30" s="206"/>
      <c r="D30" s="141" t="s">
        <v>91</v>
      </c>
      <c r="E30" s="252" t="s">
        <v>219</v>
      </c>
    </row>
    <row r="31" spans="2:6" x14ac:dyDescent="0.25">
      <c r="B31" s="145" t="s">
        <v>125</v>
      </c>
      <c r="C31" s="202"/>
      <c r="D31" s="139" t="s">
        <v>191</v>
      </c>
      <c r="E31" s="253"/>
    </row>
    <row r="32" spans="2:6" ht="15.75" thickBot="1" x14ac:dyDescent="0.3"/>
    <row r="33" spans="2:6" x14ac:dyDescent="0.25">
      <c r="B33" s="130" t="s">
        <v>236</v>
      </c>
      <c r="C33" s="131">
        <f>(C29+C31)/1000*C11*C12</f>
        <v>2982.096</v>
      </c>
      <c r="D33" s="132" t="s">
        <v>217</v>
      </c>
      <c r="E33" s="133" t="s">
        <v>121</v>
      </c>
    </row>
    <row r="34" spans="2:6" ht="15.75" thickBot="1" x14ac:dyDescent="0.3">
      <c r="B34" s="134" t="s">
        <v>224</v>
      </c>
      <c r="C34" s="135">
        <f>C33+C26*C27*C11*C12</f>
        <v>87643.296000000002</v>
      </c>
      <c r="D34" s="136" t="s">
        <v>217</v>
      </c>
      <c r="E34" s="137" t="s">
        <v>121</v>
      </c>
    </row>
    <row r="35" spans="2:6" x14ac:dyDescent="0.25">
      <c r="B35" s="56"/>
      <c r="D35" s="57"/>
    </row>
    <row r="36" spans="2:6" x14ac:dyDescent="0.25">
      <c r="B36" s="54" t="s">
        <v>61</v>
      </c>
      <c r="C36" s="55" t="s">
        <v>43</v>
      </c>
      <c r="D36" s="55" t="s">
        <v>70</v>
      </c>
      <c r="E36" s="55" t="s">
        <v>44</v>
      </c>
      <c r="F36" s="55"/>
    </row>
    <row r="37" spans="2:6" x14ac:dyDescent="0.25">
      <c r="B37" s="64" t="s">
        <v>85</v>
      </c>
      <c r="C37" s="201" t="s">
        <v>87</v>
      </c>
      <c r="D37" s="66" t="s">
        <v>91</v>
      </c>
      <c r="E37" s="66" t="s">
        <v>90</v>
      </c>
    </row>
    <row r="38" spans="2:6" x14ac:dyDescent="0.25">
      <c r="B38" s="64" t="s">
        <v>86</v>
      </c>
      <c r="C38" s="205">
        <v>30.9</v>
      </c>
      <c r="D38" s="139" t="s">
        <v>191</v>
      </c>
      <c r="E38" s="144" t="s">
        <v>192</v>
      </c>
    </row>
    <row r="39" spans="2:6" x14ac:dyDescent="0.25">
      <c r="B39" s="126" t="s">
        <v>242</v>
      </c>
      <c r="C39" s="206"/>
      <c r="D39" s="141" t="s">
        <v>91</v>
      </c>
      <c r="E39" s="252" t="s">
        <v>219</v>
      </c>
    </row>
    <row r="40" spans="2:6" x14ac:dyDescent="0.25">
      <c r="B40" s="145" t="s">
        <v>106</v>
      </c>
      <c r="C40" s="202"/>
      <c r="D40" s="141" t="s">
        <v>191</v>
      </c>
      <c r="E40" s="253"/>
    </row>
    <row r="41" spans="2:6" x14ac:dyDescent="0.25">
      <c r="B41" s="126" t="s">
        <v>245</v>
      </c>
      <c r="C41" s="201" t="s">
        <v>87</v>
      </c>
      <c r="D41" s="141" t="s">
        <v>91</v>
      </c>
      <c r="E41" s="163" t="s">
        <v>244</v>
      </c>
    </row>
    <row r="42" spans="2:6" x14ac:dyDescent="0.25">
      <c r="B42" s="162" t="s">
        <v>89</v>
      </c>
      <c r="C42" s="205">
        <v>25.1</v>
      </c>
      <c r="D42" s="139" t="s">
        <v>191</v>
      </c>
      <c r="E42" s="144" t="s">
        <v>243</v>
      </c>
    </row>
    <row r="43" spans="2:6" s="119" customFormat="1" ht="15.75" thickBot="1" x14ac:dyDescent="0.3">
      <c r="B43" s="120"/>
      <c r="D43" s="121"/>
      <c r="E43" s="122"/>
    </row>
    <row r="44" spans="2:6" s="119" customFormat="1" x14ac:dyDescent="0.25">
      <c r="B44" s="146" t="s">
        <v>235</v>
      </c>
      <c r="C44" s="148">
        <f>(C38+C40)/1000*C11*C13</f>
        <v>1301.5079999999998</v>
      </c>
      <c r="D44" s="132" t="s">
        <v>217</v>
      </c>
      <c r="E44" s="133" t="s">
        <v>121</v>
      </c>
    </row>
    <row r="45" spans="2:6" s="119" customFormat="1" ht="15.75" thickBot="1" x14ac:dyDescent="0.3">
      <c r="B45" s="147" t="s">
        <v>226</v>
      </c>
      <c r="C45" s="149">
        <f>C42/1000*C11*C14</f>
        <v>1057.212</v>
      </c>
      <c r="D45" s="136" t="s">
        <v>217</v>
      </c>
      <c r="E45" s="137" t="s">
        <v>121</v>
      </c>
    </row>
    <row r="46" spans="2:6" s="119" customFormat="1" x14ac:dyDescent="0.25">
      <c r="B46" s="120"/>
      <c r="D46" s="121"/>
      <c r="E46" s="122"/>
    </row>
    <row r="47" spans="2:6" x14ac:dyDescent="0.25">
      <c r="B47" s="54" t="s">
        <v>123</v>
      </c>
    </row>
    <row r="48" spans="2:6" x14ac:dyDescent="0.25">
      <c r="B48" s="53"/>
      <c r="C48" s="54" t="s">
        <v>312</v>
      </c>
      <c r="D48" s="55" t="s">
        <v>70</v>
      </c>
      <c r="E48" s="55" t="s">
        <v>44</v>
      </c>
    </row>
    <row r="49" spans="2:7" x14ac:dyDescent="0.25">
      <c r="B49" s="141" t="s">
        <v>109</v>
      </c>
      <c r="C49" s="207">
        <v>1</v>
      </c>
      <c r="D49" s="66" t="s">
        <v>91</v>
      </c>
      <c r="E49" s="246" t="s">
        <v>228</v>
      </c>
    </row>
    <row r="50" spans="2:7" x14ac:dyDescent="0.25">
      <c r="B50" s="66" t="s">
        <v>126</v>
      </c>
      <c r="C50" s="207">
        <v>0</v>
      </c>
      <c r="D50" s="66" t="s">
        <v>91</v>
      </c>
      <c r="E50" s="246"/>
    </row>
    <row r="51" spans="2:7" x14ac:dyDescent="0.25">
      <c r="B51" s="126" t="s">
        <v>230</v>
      </c>
      <c r="C51" s="207">
        <v>0</v>
      </c>
      <c r="D51" s="66" t="s">
        <v>91</v>
      </c>
      <c r="E51" s="246"/>
    </row>
    <row r="52" spans="2:7" x14ac:dyDescent="0.25">
      <c r="B52" s="56"/>
      <c r="E52" s="58"/>
    </row>
    <row r="53" spans="2:7" x14ac:dyDescent="0.25">
      <c r="B53" s="54" t="s">
        <v>98</v>
      </c>
      <c r="C53" s="55" t="s">
        <v>43</v>
      </c>
      <c r="D53" s="55" t="s">
        <v>70</v>
      </c>
      <c r="E53" s="55" t="s">
        <v>44</v>
      </c>
      <c r="F53" s="55"/>
    </row>
    <row r="54" spans="2:7" x14ac:dyDescent="0.25">
      <c r="B54" s="64" t="s">
        <v>96</v>
      </c>
      <c r="C54" s="205">
        <v>2.08</v>
      </c>
      <c r="D54" s="66" t="s">
        <v>101</v>
      </c>
      <c r="E54" s="144" t="s">
        <v>195</v>
      </c>
    </row>
    <row r="55" spans="2:7" x14ac:dyDescent="0.25">
      <c r="B55" s="64" t="s">
        <v>97</v>
      </c>
      <c r="C55" s="205">
        <v>3.21</v>
      </c>
      <c r="D55" s="66" t="s">
        <v>101</v>
      </c>
      <c r="E55" s="144" t="s">
        <v>195</v>
      </c>
    </row>
    <row r="56" spans="2:7" x14ac:dyDescent="0.25">
      <c r="B56" s="64" t="s">
        <v>99</v>
      </c>
      <c r="C56" s="202"/>
      <c r="D56" s="66" t="s">
        <v>100</v>
      </c>
      <c r="E56" s="144" t="s">
        <v>196</v>
      </c>
    </row>
    <row r="57" spans="2:7" x14ac:dyDescent="0.25">
      <c r="B57" s="64" t="s">
        <v>102</v>
      </c>
      <c r="C57" s="202"/>
      <c r="D57" s="170" t="s">
        <v>254</v>
      </c>
      <c r="E57" s="144" t="s">
        <v>105</v>
      </c>
    </row>
    <row r="58" spans="2:7" x14ac:dyDescent="0.25">
      <c r="B58" s="56"/>
      <c r="D58" s="57"/>
      <c r="E58" s="58"/>
    </row>
    <row r="60" spans="2:7" ht="18.75" x14ac:dyDescent="0.25">
      <c r="B60" s="60" t="s">
        <v>95</v>
      </c>
      <c r="C60" s="61"/>
      <c r="D60" s="61"/>
      <c r="E60" s="61"/>
      <c r="F60" s="61"/>
      <c r="G60" s="61"/>
    </row>
    <row r="62" spans="2:7" x14ac:dyDescent="0.25">
      <c r="B62" s="54" t="s">
        <v>204</v>
      </c>
      <c r="C62" s="55" t="s">
        <v>43</v>
      </c>
      <c r="D62" s="55" t="s">
        <v>70</v>
      </c>
    </row>
    <row r="63" spans="2:7" x14ac:dyDescent="0.25">
      <c r="B63" s="138" t="s">
        <v>107</v>
      </c>
      <c r="C63" s="127">
        <f>C29*C12</f>
        <v>70.8</v>
      </c>
      <c r="D63" s="141" t="s">
        <v>191</v>
      </c>
    </row>
    <row r="64" spans="2:7" x14ac:dyDescent="0.25">
      <c r="B64" s="190" t="s">
        <v>274</v>
      </c>
      <c r="C64" s="127">
        <f>C31*C12</f>
        <v>0</v>
      </c>
      <c r="D64" s="141" t="s">
        <v>191</v>
      </c>
    </row>
    <row r="65" spans="2:7" x14ac:dyDescent="0.25">
      <c r="B65" s="138" t="s">
        <v>89</v>
      </c>
      <c r="C65" s="127">
        <f>C42*C14</f>
        <v>25.1</v>
      </c>
      <c r="D65" s="141" t="s">
        <v>191</v>
      </c>
    </row>
    <row r="66" spans="2:7" x14ac:dyDescent="0.25">
      <c r="B66" s="138" t="s">
        <v>108</v>
      </c>
      <c r="C66" s="127">
        <f>C38*C13</f>
        <v>30.9</v>
      </c>
      <c r="D66" s="141" t="s">
        <v>191</v>
      </c>
    </row>
    <row r="67" spans="2:7" x14ac:dyDescent="0.25">
      <c r="B67" s="138" t="s">
        <v>197</v>
      </c>
      <c r="C67" s="127">
        <f>C40*C13</f>
        <v>0</v>
      </c>
      <c r="D67" s="141" t="s">
        <v>191</v>
      </c>
    </row>
    <row r="68" spans="2:7" ht="15.75" thickBot="1" x14ac:dyDescent="0.3">
      <c r="B68" s="53"/>
    </row>
    <row r="69" spans="2:7" ht="15.75" thickBot="1" x14ac:dyDescent="0.3">
      <c r="B69" s="159" t="s">
        <v>198</v>
      </c>
      <c r="C69" s="160">
        <f>C33</f>
        <v>2982.096</v>
      </c>
      <c r="D69" s="161" t="s">
        <v>88</v>
      </c>
    </row>
    <row r="70" spans="2:7" x14ac:dyDescent="0.25">
      <c r="B70" s="118"/>
    </row>
    <row r="71" spans="2:7" s="67" customFormat="1" ht="30" x14ac:dyDescent="0.25">
      <c r="B71" s="54" t="s">
        <v>246</v>
      </c>
      <c r="C71" s="54" t="s">
        <v>62</v>
      </c>
      <c r="D71" s="54" t="s">
        <v>234</v>
      </c>
      <c r="E71" s="54" t="s">
        <v>238</v>
      </c>
      <c r="F71" s="54" t="s">
        <v>239</v>
      </c>
      <c r="G71" s="54" t="s">
        <v>240</v>
      </c>
    </row>
    <row r="72" spans="2:7" x14ac:dyDescent="0.25">
      <c r="B72" s="138" t="s">
        <v>107</v>
      </c>
      <c r="C72" s="164">
        <f>C100*C12</f>
        <v>0.49432799999999999</v>
      </c>
      <c r="D72" s="249" t="s">
        <v>279</v>
      </c>
      <c r="E72" s="164">
        <f>_xlfn.XLOOKUP(C28,B119:B124,C119:C124,,0,1)*C63/1000</f>
        <v>1.5608723689214438E-3</v>
      </c>
      <c r="F72" s="164">
        <f>_xlfn.XLOOKUP(C28,B119:B124,D119:D124,,0,1)*C63/1000</f>
        <v>2.4638399999999998E-2</v>
      </c>
      <c r="G72" s="164">
        <f>_xlfn.XLOOKUP(C28,B119:B124,E119:E124,,0,1)*C63/1000</f>
        <v>9.8334959242050962E-2</v>
      </c>
    </row>
    <row r="73" spans="2:7" x14ac:dyDescent="0.25">
      <c r="B73" s="190" t="s">
        <v>274</v>
      </c>
      <c r="C73" s="164" t="str">
        <f>_xlfn.IFNA(_xlfn.XLOOKUP(C30,B103:B108,C103:C108,,0,1)*C64/1000, "N/A")</f>
        <v>N/A</v>
      </c>
      <c r="D73" s="250"/>
      <c r="E73" s="164" t="str">
        <f>_xlfn.IFNA(_xlfn.XLOOKUP(C30,B119:B124,C119:C124,,0,1)*C64/1000, "N/A")</f>
        <v>N/A</v>
      </c>
      <c r="F73" s="164" t="str">
        <f>_xlfn.IFNA(_xlfn.XLOOKUP(C30,B119:B124,D119:D124,,0,1)*C64/1000, "N/A")</f>
        <v>N/A</v>
      </c>
      <c r="G73" s="164" t="str">
        <f>_xlfn.IFNA(_xlfn.XLOOKUP(C30,B119:B124,E119:E124,,0,1)*C64/1000, "N/A")</f>
        <v>N/A</v>
      </c>
    </row>
    <row r="74" spans="2:7" x14ac:dyDescent="0.25">
      <c r="B74" s="138" t="s">
        <v>89</v>
      </c>
      <c r="C74" s="164">
        <f>_xlfn.IFNA(_xlfn.XLOOKUP(C41,B103:B108,C103:C108,,0,1)*C65/1000, "N/A")</f>
        <v>7.5551000000000007E-2</v>
      </c>
      <c r="D74" s="250"/>
      <c r="E74" s="164">
        <f>_xlfn.IFNA(_xlfn.XLOOKUP(C41,B119:B124,C119:C124,,0,1)*C65/1000, "N/A")</f>
        <v>5.5336011949051191E-4</v>
      </c>
      <c r="F74" s="164">
        <f>_xlfn.IFNA(_xlfn.XLOOKUP(C41,B119:B124,D119:D124,,0,1)*C65/1000, "N/A")</f>
        <v>8.7347999999999992E-3</v>
      </c>
      <c r="G74" s="164">
        <f>_xlfn.IFNA(_xlfn.XLOOKUP(C41,B119:B124,E119:E124,,0,1)*C65/1000, "N/A")</f>
        <v>3.4861687527902245E-2</v>
      </c>
    </row>
    <row r="75" spans="2:7" x14ac:dyDescent="0.25">
      <c r="B75" s="138" t="s">
        <v>108</v>
      </c>
      <c r="C75" s="164">
        <f>_xlfn.XLOOKUP(C37,B103:B108,C103:C108,,0,1)*C66/1000</f>
        <v>9.3008999999999981E-2</v>
      </c>
      <c r="D75" s="250"/>
      <c r="E75" s="164">
        <f>_xlfn.XLOOKUP(C37,B119:B124,C119:C124,,0,1)*C66/1000</f>
        <v>6.8122819491063015E-4</v>
      </c>
      <c r="F75" s="164">
        <f>_xlfn.IFNA(_xlfn.XLOOKUP(C37,B119:B124,D119:D124,,0,1)*C66/1000, "N/A")</f>
        <v>1.0753199999999999E-2</v>
      </c>
      <c r="G75" s="164">
        <f>_xlfn.IFNA(_xlfn.XLOOKUP(C37,B119:B124,E119:E124,,0,1)*C66/1000, "N/A")</f>
        <v>4.2917376279369701E-2</v>
      </c>
    </row>
    <row r="76" spans="2:7" x14ac:dyDescent="0.25">
      <c r="B76" s="138" t="s">
        <v>197</v>
      </c>
      <c r="C76" s="164" t="str">
        <f>_xlfn.IFNA(_xlfn.XLOOKUP(C39,B103:B108,C103:C108,,0,1)*C67/1000, "N/A")</f>
        <v>N/A</v>
      </c>
      <c r="D76" s="251"/>
      <c r="E76" s="164" t="str">
        <f>_xlfn.IFNA(_xlfn.XLOOKUP(C39,B119:B124,C119:C124,,0,1)*C67/1000, "N/A")</f>
        <v>N/A</v>
      </c>
      <c r="F76" s="164" t="str">
        <f>_xlfn.IFNA(_xlfn.XLOOKUP(C39,B119:B124,D119:D124,,0,1)*C67/1000, "N/A")</f>
        <v>N/A</v>
      </c>
      <c r="G76" s="164" t="str">
        <f>_xlfn.IFNA(_xlfn.XLOOKUP(C39,B119:B124,E119:E124,,0,1)*C67/1000, "N/A")</f>
        <v>N/A</v>
      </c>
    </row>
    <row r="77" spans="2:7" x14ac:dyDescent="0.25">
      <c r="B77" s="124"/>
    </row>
    <row r="78" spans="2:7" ht="30" x14ac:dyDescent="0.25">
      <c r="B78" s="124"/>
      <c r="C78" s="54" t="s">
        <v>62</v>
      </c>
      <c r="D78" s="54" t="s">
        <v>234</v>
      </c>
      <c r="E78" s="54" t="s">
        <v>238</v>
      </c>
      <c r="F78" s="54" t="s">
        <v>239</v>
      </c>
      <c r="G78" s="54" t="s">
        <v>240</v>
      </c>
    </row>
    <row r="79" spans="2:7" x14ac:dyDescent="0.25">
      <c r="B79" s="158" t="s">
        <v>247</v>
      </c>
      <c r="C79" s="165">
        <f>SUM(C72:C76)*$C$11</f>
        <v>27920.842560000001</v>
      </c>
      <c r="D79" s="177">
        <f>C34/1000*C19*_xlfn.XLOOKUP(C20,B111:B115,C111:C115,,0,1)+C45/1000*C22*_xlfn.XLOOKUP(C23,B111:B115,C111:C115,,0,1)+C44/1000*C22*_xlfn.XLOOKUP(C23,B111:B115,C111:C115,,0,1)</f>
        <v>1946.9245101321603</v>
      </c>
      <c r="E79" s="165">
        <f>SUM(E72:E76)*$C$11</f>
        <v>117.74480398154731</v>
      </c>
      <c r="F79" s="165">
        <f>SUM(F72:F76)*$C$11</f>
        <v>1858.6039679999999</v>
      </c>
      <c r="G79" s="165">
        <f>SUM(G72:G76)*$C$11</f>
        <v>7417.9226508374813</v>
      </c>
    </row>
    <row r="80" spans="2:7" x14ac:dyDescent="0.25">
      <c r="B80" s="53"/>
    </row>
    <row r="81" spans="2:7" ht="15.75" thickBot="1" x14ac:dyDescent="0.3">
      <c r="B81" s="53"/>
    </row>
    <row r="82" spans="2:7" x14ac:dyDescent="0.25">
      <c r="B82" s="166" t="s">
        <v>248</v>
      </c>
      <c r="C82" s="191">
        <f>SUM(C79,D79, E79*C49, F79*C50, G79*C51)/1000</f>
        <v>29.985511874113708</v>
      </c>
      <c r="D82" s="183" t="s">
        <v>270</v>
      </c>
    </row>
    <row r="83" spans="2:7" ht="15.75" thickBot="1" x14ac:dyDescent="0.3">
      <c r="B83" s="167" t="s">
        <v>249</v>
      </c>
      <c r="C83" s="178">
        <f>C82/3.26*15021</f>
        <v>138163.30486535648</v>
      </c>
    </row>
    <row r="85" spans="2:7" x14ac:dyDescent="0.25">
      <c r="B85" s="54" t="s">
        <v>199</v>
      </c>
    </row>
    <row r="86" spans="2:7" x14ac:dyDescent="0.25">
      <c r="B86" s="172" t="s">
        <v>200</v>
      </c>
      <c r="C86" s="171">
        <f>C54*C11*C12</f>
        <v>175219.20000000001</v>
      </c>
      <c r="D86" s="170" t="s">
        <v>253</v>
      </c>
    </row>
    <row r="87" spans="2:7" x14ac:dyDescent="0.25">
      <c r="B87" s="172" t="s">
        <v>201</v>
      </c>
      <c r="C87" s="171">
        <f>C55*C11*C13</f>
        <v>135205.20000000001</v>
      </c>
      <c r="D87" s="170" t="s">
        <v>253</v>
      </c>
    </row>
    <row r="88" spans="2:7" x14ac:dyDescent="0.25">
      <c r="B88" s="173" t="s">
        <v>203</v>
      </c>
      <c r="C88" s="174">
        <f>C56*C33/1000</f>
        <v>0</v>
      </c>
      <c r="D88" s="170" t="s">
        <v>253</v>
      </c>
    </row>
    <row r="89" spans="2:7" x14ac:dyDescent="0.25">
      <c r="B89" s="172" t="s">
        <v>202</v>
      </c>
      <c r="C89" s="174">
        <f>C57*C11/60</f>
        <v>0</v>
      </c>
      <c r="D89" s="170" t="s">
        <v>255</v>
      </c>
    </row>
    <row r="90" spans="2:7" x14ac:dyDescent="0.25">
      <c r="C90" s="184"/>
    </row>
    <row r="91" spans="2:7" ht="18.75" x14ac:dyDescent="0.25">
      <c r="B91" s="62" t="s">
        <v>64</v>
      </c>
      <c r="C91" s="63"/>
      <c r="D91" s="63"/>
      <c r="E91" s="63"/>
      <c r="F91" s="63"/>
      <c r="G91" s="63"/>
    </row>
    <row r="93" spans="2:7" x14ac:dyDescent="0.25">
      <c r="B93" s="54" t="s">
        <v>62</v>
      </c>
    </row>
    <row r="94" spans="2:7" x14ac:dyDescent="0.25">
      <c r="B94" s="54" t="s">
        <v>118</v>
      </c>
      <c r="C94" s="48" t="s">
        <v>43</v>
      </c>
      <c r="D94" s="48" t="s">
        <v>70</v>
      </c>
      <c r="E94" s="49" t="s">
        <v>44</v>
      </c>
      <c r="F94" s="49" t="s">
        <v>2</v>
      </c>
    </row>
    <row r="95" spans="2:7" x14ac:dyDescent="0.25">
      <c r="B95" s="47" t="s">
        <v>113</v>
      </c>
      <c r="C95" s="46">
        <f>73.8/1000</f>
        <v>7.3799999999999991E-2</v>
      </c>
      <c r="D95" s="44" t="s">
        <v>114</v>
      </c>
      <c r="E95" s="45" t="s">
        <v>115</v>
      </c>
      <c r="F95" s="50" t="s">
        <v>237</v>
      </c>
    </row>
    <row r="96" spans="2:7" x14ac:dyDescent="0.25">
      <c r="B96" s="54"/>
    </row>
    <row r="97" spans="2:6" x14ac:dyDescent="0.25">
      <c r="B97" s="54" t="s">
        <v>205</v>
      </c>
      <c r="C97" s="48" t="s">
        <v>43</v>
      </c>
      <c r="D97" s="48" t="s">
        <v>70</v>
      </c>
      <c r="E97" s="49" t="s">
        <v>44</v>
      </c>
      <c r="F97" s="49" t="s">
        <v>2</v>
      </c>
    </row>
    <row r="98" spans="2:6" ht="30" x14ac:dyDescent="0.25">
      <c r="B98" s="64" t="s">
        <v>116</v>
      </c>
      <c r="C98" s="65">
        <f>0.2874</f>
        <v>0.28739999999999999</v>
      </c>
      <c r="D98" s="188" t="s">
        <v>272</v>
      </c>
      <c r="E98" s="64" t="s">
        <v>117</v>
      </c>
      <c r="F98" s="50" t="s">
        <v>3</v>
      </c>
    </row>
    <row r="99" spans="2:6" ht="60" x14ac:dyDescent="0.25">
      <c r="B99" s="64" t="s">
        <v>120</v>
      </c>
      <c r="C99" s="157">
        <v>0.14000000000000001</v>
      </c>
      <c r="D99" s="66" t="s">
        <v>91</v>
      </c>
      <c r="E99" s="64" t="s">
        <v>122</v>
      </c>
      <c r="F99" s="50" t="s">
        <v>3</v>
      </c>
    </row>
    <row r="100" spans="2:6" x14ac:dyDescent="0.25">
      <c r="B100" s="64" t="s">
        <v>119</v>
      </c>
      <c r="C100" s="65">
        <f>C98*(1-C99)</f>
        <v>0.24716399999999999</v>
      </c>
      <c r="D100" s="188" t="s">
        <v>272</v>
      </c>
      <c r="E100" s="66" t="s">
        <v>121</v>
      </c>
      <c r="F100" s="66" t="s">
        <v>91</v>
      </c>
    </row>
    <row r="101" spans="2:6" x14ac:dyDescent="0.25">
      <c r="B101" s="56"/>
    </row>
    <row r="102" spans="2:6" x14ac:dyDescent="0.25">
      <c r="B102" s="54" t="s">
        <v>206</v>
      </c>
      <c r="C102" s="48" t="s">
        <v>43</v>
      </c>
      <c r="D102" s="48" t="s">
        <v>70</v>
      </c>
      <c r="E102" s="49" t="s">
        <v>44</v>
      </c>
      <c r="F102" s="49" t="s">
        <v>2</v>
      </c>
    </row>
    <row r="103" spans="2:6" ht="15" customHeight="1" x14ac:dyDescent="0.25">
      <c r="B103" s="126" t="s">
        <v>87</v>
      </c>
      <c r="C103" s="128">
        <f>2.5+0.51</f>
        <v>3.01</v>
      </c>
      <c r="D103" s="127" t="s">
        <v>212</v>
      </c>
      <c r="E103" s="241" t="s">
        <v>231</v>
      </c>
      <c r="F103" s="153" t="s">
        <v>3</v>
      </c>
    </row>
    <row r="104" spans="2:6" x14ac:dyDescent="0.25">
      <c r="B104" s="126" t="s">
        <v>222</v>
      </c>
      <c r="C104" s="129">
        <f>1.98+1.13</f>
        <v>3.11</v>
      </c>
      <c r="D104" s="127" t="s">
        <v>212</v>
      </c>
      <c r="E104" s="242"/>
      <c r="F104" s="154"/>
    </row>
    <row r="105" spans="2:6" x14ac:dyDescent="0.25">
      <c r="B105" s="126" t="s">
        <v>221</v>
      </c>
      <c r="C105" s="129">
        <f>1.93+1.13</f>
        <v>3.0599999999999996</v>
      </c>
      <c r="D105" s="127" t="s">
        <v>212</v>
      </c>
      <c r="E105" s="242"/>
      <c r="F105" s="154"/>
    </row>
    <row r="106" spans="2:6" x14ac:dyDescent="0.25">
      <c r="B106" s="126" t="s">
        <v>223</v>
      </c>
      <c r="C106" s="129">
        <f>2.94+0.94</f>
        <v>3.88</v>
      </c>
      <c r="D106" s="127" t="s">
        <v>212</v>
      </c>
      <c r="E106" s="242"/>
      <c r="F106" s="154"/>
    </row>
    <row r="107" spans="2:6" x14ac:dyDescent="0.25">
      <c r="B107" s="126" t="s">
        <v>128</v>
      </c>
      <c r="C107" s="129">
        <f>1.9+0.94</f>
        <v>2.84</v>
      </c>
      <c r="D107" s="127" t="s">
        <v>212</v>
      </c>
      <c r="E107" s="242"/>
      <c r="F107" s="154"/>
    </row>
    <row r="108" spans="2:6" x14ac:dyDescent="0.25">
      <c r="B108" s="126" t="s">
        <v>229</v>
      </c>
      <c r="C108" s="156">
        <f>3172.49932/1000</f>
        <v>3.17249932</v>
      </c>
      <c r="D108" s="127" t="s">
        <v>212</v>
      </c>
      <c r="E108" s="151" t="s">
        <v>232</v>
      </c>
      <c r="F108" s="155" t="s">
        <v>3</v>
      </c>
    </row>
    <row r="109" spans="2:6" x14ac:dyDescent="0.25">
      <c r="B109" s="124"/>
      <c r="C109" s="125"/>
    </row>
    <row r="110" spans="2:6" x14ac:dyDescent="0.25">
      <c r="B110" s="49" t="s">
        <v>63</v>
      </c>
      <c r="C110" s="48" t="s">
        <v>43</v>
      </c>
      <c r="D110" s="48" t="s">
        <v>70</v>
      </c>
      <c r="E110" s="49" t="s">
        <v>44</v>
      </c>
      <c r="F110" s="49" t="s">
        <v>2</v>
      </c>
    </row>
    <row r="111" spans="2:6" x14ac:dyDescent="0.25">
      <c r="B111" s="175" t="s">
        <v>256</v>
      </c>
      <c r="C111" s="176">
        <v>0.63129999999999997</v>
      </c>
      <c r="D111" s="247" t="s">
        <v>264</v>
      </c>
      <c r="E111" s="248" t="s">
        <v>260</v>
      </c>
      <c r="F111" s="240" t="s">
        <v>3</v>
      </c>
    </row>
    <row r="112" spans="2:6" x14ac:dyDescent="0.25">
      <c r="B112" s="175" t="s">
        <v>257</v>
      </c>
      <c r="C112" s="176">
        <v>0.52761000000000002</v>
      </c>
      <c r="D112" s="247"/>
      <c r="E112" s="248"/>
      <c r="F112" s="240"/>
    </row>
    <row r="113" spans="2:9" x14ac:dyDescent="0.25">
      <c r="B113" s="175" t="s">
        <v>258</v>
      </c>
      <c r="C113" s="176">
        <v>0.36362</v>
      </c>
      <c r="D113" s="247"/>
      <c r="E113" s="248"/>
      <c r="F113" s="240"/>
    </row>
    <row r="114" spans="2:9" x14ac:dyDescent="0.25">
      <c r="B114" s="175" t="s">
        <v>261</v>
      </c>
      <c r="C114" s="176">
        <v>0.62836999999999998</v>
      </c>
      <c r="D114" s="247"/>
      <c r="E114" s="248"/>
      <c r="F114" s="240"/>
    </row>
    <row r="115" spans="2:9" x14ac:dyDescent="0.25">
      <c r="B115" s="175" t="s">
        <v>259</v>
      </c>
      <c r="C115" s="176">
        <v>0.43306</v>
      </c>
      <c r="D115" s="247"/>
      <c r="E115" s="248"/>
      <c r="F115" s="240"/>
    </row>
    <row r="117" spans="2:9" x14ac:dyDescent="0.25">
      <c r="B117" s="55" t="s">
        <v>127</v>
      </c>
    </row>
    <row r="118" spans="2:9" x14ac:dyDescent="0.25">
      <c r="B118" s="55" t="s">
        <v>60</v>
      </c>
      <c r="C118" s="152" t="s">
        <v>109</v>
      </c>
      <c r="D118" s="152" t="s">
        <v>126</v>
      </c>
      <c r="E118" s="152" t="s">
        <v>110</v>
      </c>
      <c r="F118" s="49" t="s">
        <v>2</v>
      </c>
      <c r="G118"/>
      <c r="H118"/>
      <c r="I118"/>
    </row>
    <row r="119" spans="2:9" x14ac:dyDescent="0.25">
      <c r="B119" s="40" t="s">
        <v>87</v>
      </c>
      <c r="C119" s="99">
        <v>2.2046219900020394E-2</v>
      </c>
      <c r="D119" s="99">
        <v>0.34799999999999998</v>
      </c>
      <c r="E119" s="99">
        <v>1.3889118537012848</v>
      </c>
      <c r="F119" s="240" t="s">
        <v>3</v>
      </c>
    </row>
    <row r="120" spans="2:9" x14ac:dyDescent="0.25">
      <c r="B120" s="40" t="s">
        <v>222</v>
      </c>
      <c r="C120" s="99">
        <v>2.2046219900020394E-2</v>
      </c>
      <c r="D120" s="99">
        <v>0.34799999999999998</v>
      </c>
      <c r="E120" s="99">
        <v>3.0864707860028546</v>
      </c>
      <c r="F120" s="240"/>
      <c r="G120" s="150"/>
    </row>
    <row r="121" spans="2:9" x14ac:dyDescent="0.25">
      <c r="B121" s="40" t="s">
        <v>221</v>
      </c>
      <c r="C121" s="99">
        <v>2.2046219900020394E-2</v>
      </c>
      <c r="D121" s="99">
        <v>0.2314853089502141</v>
      </c>
      <c r="E121" s="99">
        <v>3.0864707860028546</v>
      </c>
      <c r="F121" s="243" t="s">
        <v>233</v>
      </c>
    </row>
    <row r="122" spans="2:9" ht="15" customHeight="1" x14ac:dyDescent="0.25">
      <c r="B122" s="40" t="s">
        <v>223</v>
      </c>
      <c r="C122" s="99">
        <v>2.2046219900020394E-2</v>
      </c>
      <c r="D122" s="99">
        <v>0.2535315288502345</v>
      </c>
      <c r="E122" s="99">
        <v>2.25973753975209</v>
      </c>
      <c r="F122" s="244"/>
    </row>
    <row r="123" spans="2:9" x14ac:dyDescent="0.25">
      <c r="B123" s="40" t="s">
        <v>128</v>
      </c>
      <c r="C123" s="99">
        <v>2.2046219900020394E-2</v>
      </c>
      <c r="D123" s="99">
        <v>0.22046219900020395</v>
      </c>
      <c r="E123" s="99">
        <v>3.0864707860028546</v>
      </c>
      <c r="F123" s="244"/>
    </row>
    <row r="124" spans="2:9" x14ac:dyDescent="0.25">
      <c r="B124" s="40" t="s">
        <v>229</v>
      </c>
      <c r="C124" s="99">
        <v>0.24250841890022432</v>
      </c>
      <c r="D124" s="99">
        <v>2.2046219900020394E-2</v>
      </c>
      <c r="E124" s="99">
        <v>2.5794077283023857</v>
      </c>
      <c r="F124" s="245"/>
    </row>
    <row r="125" spans="2:9" x14ac:dyDescent="0.25">
      <c r="C125"/>
    </row>
    <row r="126" spans="2:9" x14ac:dyDescent="0.25">
      <c r="B126" s="54" t="s">
        <v>22</v>
      </c>
      <c r="C126" s="53" t="s">
        <v>207</v>
      </c>
    </row>
    <row r="127" spans="2:9" x14ac:dyDescent="0.25">
      <c r="B127" s="54" t="s">
        <v>65</v>
      </c>
      <c r="C127" s="57" t="s">
        <v>68</v>
      </c>
    </row>
    <row r="128" spans="2:9" x14ac:dyDescent="0.25">
      <c r="B128" s="54" t="s">
        <v>66</v>
      </c>
      <c r="C128" s="57" t="s">
        <v>67</v>
      </c>
    </row>
    <row r="129" spans="3:3" x14ac:dyDescent="0.25">
      <c r="C129" s="57" t="s">
        <v>112</v>
      </c>
    </row>
    <row r="130" spans="3:3" x14ac:dyDescent="0.25">
      <c r="C130" s="57" t="s">
        <v>124</v>
      </c>
    </row>
  </sheetData>
  <sheetProtection algorithmName="SHA-512" hashValue="8GFBpRYk4UD200nSqbzrMTGPJ25n41hYg/2QrkiUCnZWWHg/ngQ5h8O8GtR+TYXW3BqnAinfrFEAzH7OdpoAtw==" saltValue="ygz4mxflcHGQely/ZHjvIA==" spinCount="100000" sheet="1" objects="1" scenarios="1" formatCells="0" formatColumns="0" formatRows="0" insertColumns="0" insertRows="0" insertHyperlinks="0" autoFilter="0" pivotTables="0"/>
  <mergeCells count="10">
    <mergeCell ref="E30:E31"/>
    <mergeCell ref="E39:E40"/>
    <mergeCell ref="F119:F120"/>
    <mergeCell ref="E103:E107"/>
    <mergeCell ref="F121:F124"/>
    <mergeCell ref="E49:E51"/>
    <mergeCell ref="D111:D115"/>
    <mergeCell ref="E111:E115"/>
    <mergeCell ref="F111:F115"/>
    <mergeCell ref="D72:D76"/>
  </mergeCells>
  <dataValidations count="2">
    <dataValidation type="list" allowBlank="1" showInputMessage="1" showErrorMessage="1" sqref="C28 C41 C30 C37 C39" xr:uid="{1BC4AA09-7A18-41DD-889D-EC6E35F41280}">
      <formula1>$B$103:$B$108</formula1>
    </dataValidation>
    <dataValidation type="list" allowBlank="1" showInputMessage="1" showErrorMessage="1" sqref="C23 C20" xr:uid="{07CDA8D8-2CEE-4353-8665-60A87B98426E}">
      <formula1>$B$111:$B$115</formula1>
    </dataValidation>
  </dataValidations>
  <hyperlinks>
    <hyperlink ref="F95" r:id="rId1" display="Link" xr:uid="{D819C691-24C4-4A6C-813A-E7E3B4EBB144}"/>
    <hyperlink ref="F98" r:id="rId2" location="supplementary-materials" xr:uid="{13D292F6-6B86-4A5E-8DA0-2B9B30BDE6E3}"/>
    <hyperlink ref="F99" r:id="rId3" xr:uid="{2A99ABEC-CBE8-4B5C-833C-341AF3408F96}"/>
    <hyperlink ref="F103" r:id="rId4" xr:uid="{10FC8F67-B1BE-4DB1-8AD7-02B0A7A99190}"/>
    <hyperlink ref="F121" r:id="rId5" display="Link" xr:uid="{B8F32B42-9389-4B64-B23E-6C0940D5B3C8}"/>
    <hyperlink ref="F119" r:id="rId6" xr:uid="{F1A29E30-95B6-44B1-89A6-3297E4443D76}"/>
    <hyperlink ref="F103:F108" r:id="rId7" display="Link" xr:uid="{CDE864F9-D3B1-4922-A1AB-02DF4BE062C0}"/>
    <hyperlink ref="F108" r:id="rId8" xr:uid="{C8C31E2D-F174-46DD-BD05-4A4202E323B7}"/>
    <hyperlink ref="F111" r:id="rId9" xr:uid="{CAD8DACB-6516-43A7-85E7-67871341623B}"/>
  </hyperlinks>
  <pageMargins left="0.7" right="0.7" top="0.75" bottom="0.75" header="0.3" footer="0.3"/>
  <pageSetup orientation="portrait"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Calculations Low Dialysate Flow</vt:lpstr>
      <vt:lpstr>Calculations Online Priming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Weijia Shi</dc:creator>
  <cp:lastModifiedBy>Weijia Shi</cp:lastModifiedBy>
  <dcterms:created xsi:type="dcterms:W3CDTF">2025-11-25T18:04:59Z</dcterms:created>
  <dcterms:modified xsi:type="dcterms:W3CDTF">2026-06-11T20:10:51Z</dcterms:modified>
</cp:coreProperties>
</file>