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E50469EF-87AB-4E5B-B230-7469C9936AA1}" xr6:coauthVersionLast="47" xr6:coauthVersionMax="47" xr10:uidLastSave="{00000000-0000-0000-0000-000000000000}"/>
  <bookViews>
    <workbookView xWindow="-120" yWindow="-120" windowWidth="29040" windowHeight="15720" xr2:uid="{00000000-000D-0000-FFFF-FFFF00000000}"/>
  </bookViews>
  <sheets>
    <sheet name="Introduction" sheetId="8" r:id="rId1"/>
    <sheet name="Calculations" sheetId="1" r:id="rId2"/>
    <sheet name="Cautery Cords" sheetId="2" state="hidden" r:id="rId3"/>
    <sheet name="N2O" sheetId="3" state="hidden" r:id="rId4"/>
    <sheet name="IV to Oral" sheetId="4" state="hidden" r:id="rId5"/>
    <sheet name="Bottled Strerile Water" sheetId="5" state="hidden" r:id="rId6"/>
    <sheet name="Methodology - Scaling PEACH Hos" sheetId="6" state="hidden" r:id="rId7"/>
    <sheet name="Methodology - Scaling PEACH Pri" sheetId="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J2yyHSVAag8HBmDmqvibZv9bjZDlzeHEZhDVnYg4aGc="/>
    </ext>
  </extLst>
</workbook>
</file>

<file path=xl/calcChain.xml><?xml version="1.0" encoding="utf-8"?>
<calcChain xmlns="http://schemas.openxmlformats.org/spreadsheetml/2006/main">
  <c r="B36" i="1" l="1"/>
  <c r="B34" i="1"/>
  <c r="G58" i="7" l="1"/>
  <c r="D58" i="7"/>
  <c r="C58" i="7"/>
  <c r="G57" i="7"/>
  <c r="D57" i="7"/>
  <c r="G56" i="7"/>
  <c r="D56" i="7"/>
  <c r="G55" i="7"/>
  <c r="D55" i="7"/>
  <c r="G54" i="7"/>
  <c r="D54" i="7"/>
  <c r="C54" i="7"/>
  <c r="G53" i="7"/>
  <c r="D53" i="7"/>
  <c r="G52" i="7"/>
  <c r="D52" i="7"/>
  <c r="G51" i="7"/>
  <c r="D51" i="7"/>
  <c r="G50" i="7"/>
  <c r="D50" i="7"/>
  <c r="C50" i="7"/>
  <c r="G49" i="7"/>
  <c r="D49" i="7"/>
  <c r="G48" i="7"/>
  <c r="D48" i="7"/>
  <c r="G47" i="7"/>
  <c r="D47" i="7"/>
  <c r="G46" i="7"/>
  <c r="D46" i="7"/>
  <c r="C46" i="7"/>
  <c r="G45" i="7"/>
  <c r="D45" i="7"/>
  <c r="G44" i="7"/>
  <c r="D44" i="7"/>
  <c r="G43" i="7"/>
  <c r="D43" i="7"/>
  <c r="G42" i="7"/>
  <c r="D42" i="7"/>
  <c r="C42" i="7"/>
  <c r="G41" i="7"/>
  <c r="D41" i="7"/>
  <c r="G40" i="7"/>
  <c r="D40" i="7"/>
  <c r="D14" i="7"/>
  <c r="C14" i="7"/>
  <c r="B14" i="7"/>
  <c r="E13" i="7"/>
  <c r="E12" i="7"/>
  <c r="E14" i="7" s="1"/>
  <c r="E11" i="7"/>
  <c r="E10" i="7"/>
  <c r="E9" i="7"/>
  <c r="E8" i="7"/>
  <c r="E7" i="7"/>
  <c r="E6" i="7"/>
  <c r="C57" i="7" s="1"/>
  <c r="E5" i="7"/>
  <c r="E4" i="7"/>
  <c r="E3" i="7"/>
  <c r="K32" i="6"/>
  <c r="I32" i="6"/>
  <c r="D32" i="6"/>
  <c r="J32" i="6" s="1"/>
  <c r="C32" i="6"/>
  <c r="K31" i="6"/>
  <c r="I31" i="6"/>
  <c r="D31" i="6"/>
  <c r="J31" i="6" s="1"/>
  <c r="C31" i="6"/>
  <c r="K30" i="6"/>
  <c r="I30" i="6"/>
  <c r="D30" i="6"/>
  <c r="J30" i="6" s="1"/>
  <c r="C30" i="6"/>
  <c r="K29" i="6"/>
  <c r="J29" i="6"/>
  <c r="I29" i="6"/>
  <c r="D29" i="6"/>
  <c r="C29" i="6"/>
  <c r="K28" i="6"/>
  <c r="J28" i="6"/>
  <c r="I28" i="6"/>
  <c r="D28" i="6"/>
  <c r="C28" i="6"/>
  <c r="K27" i="6"/>
  <c r="I27" i="6"/>
  <c r="D27" i="6"/>
  <c r="J27" i="6" s="1"/>
  <c r="C27" i="6"/>
  <c r="L26" i="6"/>
  <c r="K26" i="6"/>
  <c r="J26" i="6"/>
  <c r="I26" i="6"/>
  <c r="D26" i="6"/>
  <c r="C26" i="6"/>
  <c r="K25" i="6"/>
  <c r="J25" i="6"/>
  <c r="I25" i="6"/>
  <c r="D25" i="6"/>
  <c r="C25" i="6"/>
  <c r="K24" i="6"/>
  <c r="I24" i="6"/>
  <c r="D24" i="6"/>
  <c r="J24" i="6" s="1"/>
  <c r="C24" i="6"/>
  <c r="K23" i="6"/>
  <c r="I23" i="6"/>
  <c r="D23" i="6"/>
  <c r="J23" i="6" s="1"/>
  <c r="C23" i="6"/>
  <c r="K22" i="6"/>
  <c r="I22" i="6"/>
  <c r="D22" i="6"/>
  <c r="J22" i="6" s="1"/>
  <c r="C22" i="6"/>
  <c r="K21" i="6"/>
  <c r="J21" i="6"/>
  <c r="I21" i="6"/>
  <c r="D21" i="6"/>
  <c r="C21" i="6"/>
  <c r="K20" i="6"/>
  <c r="I20" i="6"/>
  <c r="D20" i="6"/>
  <c r="J20" i="6" s="1"/>
  <c r="C20" i="6"/>
  <c r="K19" i="6"/>
  <c r="I19" i="6"/>
  <c r="D19" i="6"/>
  <c r="J19" i="6" s="1"/>
  <c r="C19" i="6"/>
  <c r="L18" i="6"/>
  <c r="K18" i="6"/>
  <c r="J18" i="6"/>
  <c r="I18" i="6"/>
  <c r="D18" i="6"/>
  <c r="C18" i="6"/>
  <c r="K17" i="6"/>
  <c r="J17" i="6"/>
  <c r="I17" i="6"/>
  <c r="D17" i="6"/>
  <c r="C17" i="6"/>
  <c r="K16" i="6"/>
  <c r="I16" i="6"/>
  <c r="D16" i="6"/>
  <c r="J16" i="6" s="1"/>
  <c r="C16" i="6"/>
  <c r="L15" i="6"/>
  <c r="K15" i="6"/>
  <c r="I15" i="6"/>
  <c r="D15" i="6"/>
  <c r="J15" i="6" s="1"/>
  <c r="C15" i="6"/>
  <c r="L14" i="6"/>
  <c r="K14" i="6"/>
  <c r="I14" i="6"/>
  <c r="D14" i="6"/>
  <c r="J14" i="6" s="1"/>
  <c r="C14" i="6"/>
  <c r="B8" i="6"/>
  <c r="L31" i="6" s="1"/>
  <c r="C16" i="5"/>
  <c r="C17" i="5" s="1"/>
  <c r="B13" i="4"/>
  <c r="E9" i="4"/>
  <c r="D9" i="4"/>
  <c r="C8" i="4"/>
  <c r="C9" i="4" s="1"/>
  <c r="D23" i="3"/>
  <c r="J23" i="3" s="1"/>
  <c r="L22" i="3"/>
  <c r="L24" i="3" s="1"/>
  <c r="E22" i="3"/>
  <c r="C22" i="3"/>
  <c r="D22" i="3" s="1"/>
  <c r="L21" i="3"/>
  <c r="J21" i="3"/>
  <c r="I21" i="3"/>
  <c r="F21" i="3"/>
  <c r="L20" i="3"/>
  <c r="I20" i="3"/>
  <c r="F20" i="3"/>
  <c r="J19" i="3"/>
  <c r="I19" i="3"/>
  <c r="F19" i="3"/>
  <c r="J18" i="3"/>
  <c r="I18" i="3"/>
  <c r="F18" i="3"/>
  <c r="B11" i="3"/>
  <c r="J20" i="3" s="1"/>
  <c r="J40" i="2"/>
  <c r="J39" i="2"/>
  <c r="J38" i="2"/>
  <c r="J37" i="2"/>
  <c r="B32" i="2"/>
  <c r="B19" i="2"/>
  <c r="B20" i="2" s="1"/>
  <c r="B18" i="2"/>
  <c r="B9" i="2"/>
  <c r="B8" i="2"/>
  <c r="B13" i="2" s="1"/>
  <c r="B7" i="2"/>
  <c r="B3" i="2" s="1"/>
  <c r="B12" i="2" s="1"/>
  <c r="D59" i="1"/>
  <c r="B59" i="1" s="1"/>
  <c r="J58" i="1"/>
  <c r="G58" i="1"/>
  <c r="D58" i="1"/>
  <c r="G57" i="1"/>
  <c r="D57" i="1"/>
  <c r="M56" i="1"/>
  <c r="J56" i="1"/>
  <c r="G56" i="1"/>
  <c r="D56" i="1"/>
  <c r="B56" i="1" s="1"/>
  <c r="G55" i="1"/>
  <c r="D55" i="1"/>
  <c r="B27" i="1"/>
  <c r="C27" i="1" s="1"/>
  <c r="B26" i="1"/>
  <c r="C26" i="1" s="1"/>
  <c r="B25" i="1"/>
  <c r="C25" i="1" s="1"/>
  <c r="B24" i="1"/>
  <c r="C24" i="1" s="1"/>
  <c r="B23" i="1"/>
  <c r="C23" i="1" s="1"/>
  <c r="B51" i="1"/>
  <c r="D24" i="1" l="1"/>
  <c r="E24" i="1" s="1"/>
  <c r="B58" i="1"/>
  <c r="D26" i="1" s="1"/>
  <c r="E26" i="1" s="1"/>
  <c r="B50" i="1"/>
  <c r="B55" i="1"/>
  <c r="D23" i="1" s="1"/>
  <c r="E23" i="1" s="1"/>
  <c r="B57" i="1"/>
  <c r="D25" i="1" s="1"/>
  <c r="E25" i="1" s="1"/>
  <c r="D27" i="1"/>
  <c r="E27" i="1" s="1"/>
  <c r="B28" i="1"/>
  <c r="F58" i="7"/>
  <c r="F54" i="7"/>
  <c r="F50" i="7"/>
  <c r="F46" i="7"/>
  <c r="F42" i="7"/>
  <c r="F57" i="7"/>
  <c r="F53" i="7"/>
  <c r="F49" i="7"/>
  <c r="F45" i="7"/>
  <c r="F41" i="7"/>
  <c r="F56" i="7"/>
  <c r="F52" i="7"/>
  <c r="F48" i="7"/>
  <c r="F44" i="7"/>
  <c r="F40" i="7"/>
  <c r="F55" i="7"/>
  <c r="F51" i="7"/>
  <c r="F47" i="7"/>
  <c r="F43" i="7"/>
  <c r="B23" i="2"/>
  <c r="B21" i="2"/>
  <c r="C28" i="1"/>
  <c r="F22" i="3"/>
  <c r="F24" i="3" s="1"/>
  <c r="J22" i="3"/>
  <c r="J24" i="3" s="1"/>
  <c r="I22" i="3"/>
  <c r="D24" i="3"/>
  <c r="I24" i="3"/>
  <c r="C43" i="7"/>
  <c r="C47" i="7"/>
  <c r="C51" i="7"/>
  <c r="C55" i="7"/>
  <c r="L29" i="6"/>
  <c r="F23" i="3"/>
  <c r="L21" i="6"/>
  <c r="I23" i="3"/>
  <c r="L16" i="6"/>
  <c r="L24" i="6"/>
  <c r="L32" i="6"/>
  <c r="C40" i="7"/>
  <c r="C44" i="7"/>
  <c r="C48" i="7"/>
  <c r="C52" i="7"/>
  <c r="C56" i="7"/>
  <c r="L19" i="6"/>
  <c r="L27" i="6"/>
  <c r="L22" i="6"/>
  <c r="L30" i="6"/>
  <c r="C41" i="7"/>
  <c r="C45" i="7"/>
  <c r="C49" i="7"/>
  <c r="C53" i="7"/>
  <c r="L20" i="6"/>
  <c r="L28" i="6"/>
  <c r="L17" i="6"/>
  <c r="L25" i="6"/>
  <c r="L23" i="6"/>
  <c r="D28" i="1" l="1"/>
  <c r="B47" i="1" s="1"/>
  <c r="E28" i="1"/>
  <c r="B48" i="1" s="1"/>
  <c r="B49" i="1" s="1"/>
</calcChain>
</file>

<file path=xl/sharedStrings.xml><?xml version="1.0" encoding="utf-8"?>
<sst xmlns="http://schemas.openxmlformats.org/spreadsheetml/2006/main" count="559" uniqueCount="419">
  <si>
    <t>Purchasing Data</t>
  </si>
  <si>
    <t>Value</t>
  </si>
  <si>
    <t>Unit</t>
  </si>
  <si>
    <t>Total gloves usage per year</t>
  </si>
  <si>
    <t>single gloves per year</t>
  </si>
  <si>
    <t>Vinyl</t>
  </si>
  <si>
    <t>of total</t>
  </si>
  <si>
    <t>Nitrile, non-sterile</t>
  </si>
  <si>
    <t>Nitrile, sterile</t>
  </si>
  <si>
    <t>Latex, non-sterile</t>
  </si>
  <si>
    <t>Latex, sterile</t>
  </si>
  <si>
    <t>per year</t>
  </si>
  <si>
    <t>Cost Breakdown by Glove Type (% of total number of gloves purchased)</t>
  </si>
  <si>
    <t>from current usage</t>
  </si>
  <si>
    <t>Gloves-related GHG baseline</t>
  </si>
  <si>
    <t>tCO2e per year</t>
  </si>
  <si>
    <t>Estimated landfill diversion</t>
  </si>
  <si>
    <t>tonnes per year</t>
  </si>
  <si>
    <t>Estimated financial savings</t>
  </si>
  <si>
    <t>CAD per year</t>
  </si>
  <si>
    <t>% Breakdown (Linked to User Input)</t>
  </si>
  <si>
    <t># of Single Gloves</t>
  </si>
  <si>
    <t>Total</t>
  </si>
  <si>
    <t>Emission Factors by Material Type</t>
  </si>
  <si>
    <t>Average Emission Factor</t>
  </si>
  <si>
    <t>Value 1</t>
  </si>
  <si>
    <t>Waste Scenario</t>
  </si>
  <si>
    <t>Source 1</t>
  </si>
  <si>
    <t>Value 2</t>
  </si>
  <si>
    <t>Source 2</t>
  </si>
  <si>
    <t>Value 3</t>
  </si>
  <si>
    <t>Source 3</t>
  </si>
  <si>
    <t>Value 4</t>
  </si>
  <si>
    <t>Source 4</t>
  </si>
  <si>
    <t>kg CO2e/single glove</t>
  </si>
  <si>
    <t xml:space="preserve">Municipal waste management. </t>
  </si>
  <si>
    <t>Excluded (Cradle to Gate)</t>
  </si>
  <si>
    <t>High-temperature hazardous incineration</t>
  </si>
  <si>
    <t>Incineration</t>
  </si>
  <si>
    <t>Excluded (Cradle to Manufacturer Gate)</t>
  </si>
  <si>
    <t>Landfill</t>
  </si>
  <si>
    <t>Source</t>
  </si>
  <si>
    <t>Parameter</t>
  </si>
  <si>
    <t>Source/Assumption</t>
  </si>
  <si>
    <t>Ajmera Transplant Centre # of transplant operations (min.)</t>
  </si>
  <si>
    <t>https://www.uhn.ca/transplant</t>
  </si>
  <si>
    <t>Estimated weight generated per operation, based on waste diversion quantity</t>
  </si>
  <si>
    <t>kg/operation</t>
  </si>
  <si>
    <t>GHG Savings from published landfill diversion</t>
  </si>
  <si>
    <t>Quantity of copper recycled, 2020 to 2025</t>
  </si>
  <si>
    <t>kg</t>
  </si>
  <si>
    <t>https://www.oha.com/news/converting-surgical-waste-into-sustainable-solutions</t>
  </si>
  <si>
    <t>Annualized quantity</t>
  </si>
  <si>
    <t>kg/year</t>
  </si>
  <si>
    <t>Emissions saving per year</t>
  </si>
  <si>
    <t>kgCO2e/year</t>
  </si>
  <si>
    <t>Emissions saving % difference from baseline</t>
  </si>
  <si>
    <t>Number of surgeries performed annually at Toronto Western Hospital’s Sprott Department of Surgery (39 ORs)</t>
  </si>
  <si>
    <t>https://news.ontario.ca/en/release/47308/ontario-improving-access-to-care-with-major-expansion-of-toronto-western-hospital</t>
  </si>
  <si>
    <t>Estimated weight of electrocautery pencils disposed of</t>
  </si>
  <si>
    <t>kg per year</t>
  </si>
  <si>
    <t>Scaled from the number of operations at the Ajmera Transplant Centre</t>
  </si>
  <si>
    <t>Estimated emissions saving across Toronto Western Hospital</t>
  </si>
  <si>
    <t>Extrapolated by # of operations</t>
  </si>
  <si>
    <t>Revenue from copper recycling: article states that the funds received from this initiative have been used to purchase more than 250 personalized, reusable surgical caps for the OR team.</t>
  </si>
  <si>
    <t>Cost of reusable surgical cap</t>
  </si>
  <si>
    <t>per cap</t>
  </si>
  <si>
    <t>https://albertatextiles.com/product/reusable-surgical-cap-w-ties/?srsltid=AfmBOoqk6rwLh5gfJ-58Aqny5B3AU6JZ5PcA_aVhN6PXdP67lPgfd_bI</t>
  </si>
  <si>
    <t>Estimated revenue</t>
  </si>
  <si>
    <t>for 1040 kg of copper recycled</t>
  </si>
  <si>
    <t>Average scrap price of copper (high uncertainty)</t>
  </si>
  <si>
    <t>CA$ per lb</t>
  </si>
  <si>
    <t>https://www.premierrecycling.ca/contact/premier-recycling-mississauga-ltd/pricing/</t>
  </si>
  <si>
    <t>CA$ per kg</t>
  </si>
  <si>
    <t>Accessed Sep 17, 2025</t>
  </si>
  <si>
    <t>Sense check revenue from ATC</t>
  </si>
  <si>
    <t>Estimated revenue from recyling from all 39 ORs at TWH</t>
  </si>
  <si>
    <t>Impact Potential</t>
  </si>
  <si>
    <t>Scaling Basis: # or ORs</t>
  </si>
  <si>
    <t>Scaling Basis: # or Surgeries</t>
  </si>
  <si>
    <t>Estimated Impact Potential</t>
  </si>
  <si>
    <t>UHN Site-Wide</t>
  </si>
  <si>
    <t>Ontario</t>
  </si>
  <si>
    <t>National</t>
  </si>
  <si>
    <t>Higher Estimate: US WARM Ver 16</t>
  </si>
  <si>
    <t>Emissions Savings from Landfill (default operations) to Recycling (tCO2e per tonne recycled)</t>
  </si>
  <si>
    <t>Copper Wire</t>
  </si>
  <si>
    <t>Defra GHG Factors: 2025</t>
  </si>
  <si>
    <t>Open-loop</t>
  </si>
  <si>
    <t>Closed-loop</t>
  </si>
  <si>
    <t>Incineration with energy recovery</t>
  </si>
  <si>
    <t>Composting</t>
  </si>
  <si>
    <t>Anaerobic digestion</t>
  </si>
  <si>
    <t>Savings from Landfill to Open-loop Recycling</t>
  </si>
  <si>
    <t>Activity</t>
  </si>
  <si>
    <t>Waste type</t>
  </si>
  <si>
    <t>kg CO2e</t>
  </si>
  <si>
    <t>tCO2e</t>
  </si>
  <si>
    <t>Metal</t>
  </si>
  <si>
    <t>Metal: aluminium cans and foil (excl. forming)</t>
  </si>
  <si>
    <t>tonnes</t>
  </si>
  <si>
    <t>Metal: mixed cans</t>
  </si>
  <si>
    <t>Metal: scrap metal</t>
  </si>
  <si>
    <t>Metal: steel cans</t>
  </si>
  <si>
    <t>European source on estimated market value of materials in cautery pens
Note: Relationship between total value and # of units are not linear</t>
  </si>
  <si>
    <t>https://www.resourcify.com/recycle/cautery-pens</t>
  </si>
  <si>
    <t>Material</t>
  </si>
  <si>
    <t>Purpose</t>
  </si>
  <si>
    <t>Composition</t>
  </si>
  <si>
    <t>Copper</t>
  </si>
  <si>
    <t>High-grade copper wire for electrical conductivity</t>
  </si>
  <si>
    <t>ABS Plastic</t>
  </si>
  <si>
    <t>Housing and grip components</t>
  </si>
  <si>
    <t>Stainless Steel</t>
  </si>
  <si>
    <t>Precision tips and internal mechanisms</t>
  </si>
  <si>
    <t>Electronic Components</t>
  </si>
  <si>
    <t>Circuit boards and connectors</t>
  </si>
  <si>
    <t>Other</t>
  </si>
  <si>
    <t>Cables, insulation, and miscellaneous parts</t>
  </si>
  <si>
    <t>Estimated annual impact of transition from medical gas pipeline system to a portable cylinder supply of nitrous oxide in anaesthetics</t>
  </si>
  <si>
    <t>N2O gas density (g/L)</t>
  </si>
  <si>
    <t>N2O GWP (kg CO₂e)</t>
  </si>
  <si>
    <t>GBP to CAD (Aug 2025)</t>
  </si>
  <si>
    <t>USD to CAD (Aug 2025)</t>
  </si>
  <si>
    <t>Updated Scaling Methodology</t>
  </si>
  <si>
    <t>Basis of Scaling</t>
  </si>
  <si>
    <r>
      <rPr>
        <b/>
        <sz val="11"/>
        <color theme="1"/>
        <rFont val="Calibri"/>
      </rPr>
      <t xml:space="preserve">Unit Impact: </t>
    </r>
    <r>
      <rPr>
        <sz val="11"/>
        <color theme="1"/>
        <rFont val="Calibri"/>
      </rPr>
      <t>Average GTHA Hospital Size Based on Total Beds</t>
    </r>
  </si>
  <si>
    <r>
      <rPr>
        <b/>
        <sz val="11"/>
        <color theme="1"/>
        <rFont val="Calibri"/>
      </rPr>
      <t xml:space="preserve">Local: </t>
    </r>
    <r>
      <rPr>
        <sz val="11"/>
        <color theme="1"/>
        <rFont val="Calibri"/>
      </rPr>
      <t>Unit Impact x Total Beds in Ontario (Unless Otherwise Specified)</t>
    </r>
  </si>
  <si>
    <r>
      <rPr>
        <b/>
        <sz val="11"/>
        <color theme="1"/>
        <rFont val="Calibri"/>
      </rPr>
      <t xml:space="preserve">National: </t>
    </r>
    <r>
      <rPr>
        <sz val="11"/>
        <color theme="1"/>
        <rFont val="Calibri"/>
      </rPr>
      <t>Unit Impact x Total Beds in Canada (Unless Otherwise Specified)</t>
    </r>
  </si>
  <si>
    <t>Legend</t>
  </si>
  <si>
    <t>From references</t>
  </si>
  <si>
    <t>Calculated</t>
  </si>
  <si>
    <t>Hospital</t>
  </si>
  <si>
    <t># beds</t>
  </si>
  <si>
    <t>N2O Saved (L)</t>
  </si>
  <si>
    <t>Total Emissions Avoided (tCO2e)</t>
  </si>
  <si>
    <t>Emissions % Reduction from base case</t>
  </si>
  <si>
    <t>Emissions Saving Prorated to a 339-Bed Hospital</t>
  </si>
  <si>
    <t>Cost to implement - Source</t>
  </si>
  <si>
    <t>Cost to Implement (CA$)</t>
  </si>
  <si>
    <t>Scaled Local Impact (tCO2e)</t>
  </si>
  <si>
    <t>Scaled National Impact (tCO2e)</t>
  </si>
  <si>
    <t>Cost Saving (gas and maintenance, annualized)</t>
  </si>
  <si>
    <t>Cost Saving in CA$, prorated to a 339-bed hospital over a year</t>
  </si>
  <si>
    <t>Reference</t>
  </si>
  <si>
    <t>Manchester University NHS Foundation Trust</t>
  </si>
  <si>
    <t>N/A</t>
  </si>
  <si>
    <t>Emissions avoided</t>
  </si>
  <si>
    <t>Cambridge University Hospitals NHS Foundation Trust</t>
  </si>
  <si>
    <t>Gloucestershire Hospitals NHS Foundation Trust</t>
  </si>
  <si>
    <t>Kings College Hospital NHS Foundation Trust</t>
  </si>
  <si>
    <t>Bath’s Royal United Hospital</t>
  </si>
  <si>
    <t>N2O saved</t>
  </si>
  <si>
    <t>Providence St Vincent Medical Center (Portland, Oregon)</t>
  </si>
  <si>
    <t>USD 2200 to 3500 per anesthesia machine</t>
  </si>
  <si>
    <t>CAD 3036 to 4830 per machine</t>
  </si>
  <si>
    <r>
      <rPr>
        <b/>
        <sz val="11"/>
        <color rgb="FF3F3F3F"/>
        <rFont val="Calibri"/>
      </rPr>
      <t>Existing builds:</t>
    </r>
    <r>
      <rPr>
        <sz val="11"/>
        <color rgb="FF3F3F3F"/>
        <rFont val="Calibri"/>
      </rPr>
      <t xml:space="preserve"> "the absolute savings are modest, as N2O is relatively inexpensive."
</t>
    </r>
    <r>
      <rPr>
        <b/>
        <sz val="11"/>
        <color rgb="FF3F3F3F"/>
        <rFont val="Calibri"/>
      </rPr>
      <t xml:space="preserve">New builds: </t>
    </r>
    <r>
      <rPr>
        <sz val="11"/>
        <color rgb="FF3F3F3F"/>
        <rFont val="Calibri"/>
      </rPr>
      <t>" for new healthcare facilities that are still in the design and construction phase, avoiding installation of a central supply system will result in substantial financial savings. Set to open in 2030, the new UCSF Helen Diller Medical Center (682 beds, 40 ORs) and affiliated ambulatory surgery centre (16 ORs) eliminated the central N2O supply systems from their design and constructionwith an estimated savings of US$1.2 million".</t>
    </r>
  </si>
  <si>
    <t>Paper</t>
  </si>
  <si>
    <t>Average</t>
  </si>
  <si>
    <t>Hospital / Trust</t>
  </si>
  <si>
    <t>Number of Beds</t>
  </si>
  <si>
    <t>Notes / Source</t>
  </si>
  <si>
    <r>
      <rPr>
        <sz val="11"/>
        <rFont val="Calibri"/>
      </rPr>
      <t>~2,435 inpatient beds + 578 day-case beds (</t>
    </r>
    <r>
      <rPr>
        <u/>
        <sz val="11"/>
        <color rgb="FF1155CC"/>
        <rFont val="Calibri"/>
      </rPr>
      <t>cqc.org.uk</t>
    </r>
    <r>
      <rPr>
        <sz val="11"/>
        <rFont val="Calibri"/>
      </rPr>
      <t>)</t>
    </r>
  </si>
  <si>
    <r>
      <rPr>
        <sz val="11"/>
        <rFont val="Calibri"/>
      </rPr>
      <t>“approximately 2,435 inpatient beds” per CQC summary. (</t>
    </r>
    <r>
      <rPr>
        <u/>
        <sz val="11"/>
        <color rgb="FF1155CC"/>
        <rFont val="Calibri"/>
      </rPr>
      <t>cqc.org.uk</t>
    </r>
    <r>
      <rPr>
        <sz val="11"/>
        <rFont val="Calibri"/>
      </rPr>
      <t>)</t>
    </r>
  </si>
  <si>
    <r>
      <rPr>
        <sz val="11"/>
        <rFont val="Calibri"/>
      </rPr>
      <t>~1,165 inpatient beds + 103 day care beds (</t>
    </r>
    <r>
      <rPr>
        <u/>
        <sz val="11"/>
        <color rgb="FF1155CC"/>
        <rFont val="Calibri"/>
      </rPr>
      <t>cqc.org.uk</t>
    </r>
    <r>
      <rPr>
        <sz val="11"/>
        <rFont val="Calibri"/>
      </rPr>
      <t>)</t>
    </r>
  </si>
  <si>
    <r>
      <rPr>
        <sz val="11"/>
        <rFont val="Calibri"/>
      </rPr>
      <t>From an inspection report. (</t>
    </r>
    <r>
      <rPr>
        <u/>
        <sz val="11"/>
        <color rgb="FF1155CC"/>
        <rFont val="Calibri"/>
      </rPr>
      <t>cqc.org.uk</t>
    </r>
    <r>
      <rPr>
        <sz val="11"/>
        <rFont val="Calibri"/>
      </rPr>
      <t>)</t>
    </r>
  </si>
  <si>
    <r>
      <rPr>
        <sz val="11"/>
        <rFont val="Calibri"/>
      </rPr>
      <t>~1,072 beds (acute inpatient across two major sites) (</t>
    </r>
    <r>
      <rPr>
        <u/>
        <sz val="11"/>
        <color rgb="FF1155CC"/>
        <rFont val="Calibri"/>
      </rPr>
      <t>api.cqc.org.uk</t>
    </r>
    <r>
      <rPr>
        <sz val="11"/>
        <rFont val="Calibri"/>
      </rPr>
      <t>)</t>
    </r>
  </si>
  <si>
    <r>
      <rPr>
        <sz val="11"/>
        <rFont val="Calibri"/>
      </rPr>
      <t>Also breakdown in older data: 652 at Gloucestershire Royal, 456 at Cheltenham General. (</t>
    </r>
    <r>
      <rPr>
        <u/>
        <sz val="11"/>
        <color rgb="FF1155CC"/>
        <rFont val="Calibri"/>
      </rPr>
      <t>glostext.gloucestershire.gov.uk</t>
    </r>
    <r>
      <rPr>
        <sz val="11"/>
        <rFont val="Calibri"/>
      </rPr>
      <t>)</t>
    </r>
  </si>
  <si>
    <t>King’s College Hospital NHS Foundation Trust</t>
  </si>
  <si>
    <r>
      <rPr>
        <sz val="11"/>
        <rFont val="Calibri"/>
      </rPr>
      <t>“over 1,300 beds”, including ~1,050 acute + others (maternity / critical care etc.) (</t>
    </r>
    <r>
      <rPr>
        <u/>
        <sz val="11"/>
        <color rgb="FF1155CC"/>
        <rFont val="Calibri"/>
      </rPr>
      <t>cqc.org.uk</t>
    </r>
    <r>
      <rPr>
        <sz val="11"/>
        <rFont val="Calibri"/>
      </rPr>
      <t>)</t>
    </r>
  </si>
  <si>
    <r>
      <rPr>
        <sz val="11"/>
        <rFont val="Calibri"/>
      </rPr>
      <t>From CQC report. (</t>
    </r>
    <r>
      <rPr>
        <u/>
        <sz val="11"/>
        <color rgb="FF1155CC"/>
        <rFont val="Calibri"/>
      </rPr>
      <t>cqc.org.uk</t>
    </r>
    <r>
      <rPr>
        <sz val="11"/>
        <rFont val="Calibri"/>
      </rPr>
      <t>)</t>
    </r>
  </si>
  <si>
    <t>Royal United Hospital (Bath)</t>
  </si>
  <si>
    <r>
      <rPr>
        <sz val="11"/>
        <rFont val="Calibri"/>
      </rPr>
      <t>565 beds at RUH Bath site; 732 beds in the Trust total (</t>
    </r>
    <r>
      <rPr>
        <u/>
        <sz val="11"/>
        <color rgb="FF1155CC"/>
        <rFont val="Calibri"/>
      </rPr>
      <t>Wikipedia</t>
    </r>
    <r>
      <rPr>
        <sz val="11"/>
        <rFont val="Calibri"/>
      </rPr>
      <t>)</t>
    </r>
  </si>
  <si>
    <t>Providence St. Vincent Medical Center (Portland, Oregon)</t>
  </si>
  <si>
    <r>
      <rPr>
        <sz val="11"/>
        <rFont val="Calibri"/>
      </rPr>
      <t>523 licensed beds (</t>
    </r>
    <r>
      <rPr>
        <u/>
        <sz val="11"/>
        <color rgb="FF1155CC"/>
        <rFont val="Calibri"/>
      </rPr>
      <t>providence.org</t>
    </r>
    <r>
      <rPr>
        <sz val="11"/>
        <rFont val="Calibri"/>
      </rPr>
      <t>)</t>
    </r>
  </si>
  <si>
    <t>Co-benefits</t>
  </si>
  <si>
    <t>safety from reduced exposure to N2O leaks</t>
  </si>
  <si>
    <t>Cost saving in gas and maintenance</t>
  </si>
  <si>
    <t>Compliance with regional clinical decisions and guidelines</t>
  </si>
  <si>
    <t>Assumptions</t>
  </si>
  <si>
    <t>USA</t>
  </si>
  <si>
    <t>UK</t>
  </si>
  <si>
    <t>Australia</t>
  </si>
  <si>
    <t>Number of surgical encounters per year</t>
  </si>
  <si>
    <t>Number of patients eligible for paracetamol</t>
  </si>
  <si>
    <t>Percentage of procedures where patients receive paracetamol</t>
  </si>
  <si>
    <t>Switch potential (of those receiving paracetamol, % that was IV)</t>
  </si>
  <si>
    <t>Equivalent doses eligible for switch</t>
  </si>
  <si>
    <t>Assumed number of switches</t>
  </si>
  <si>
    <t>Emissions saving (IV to oral tablet, tCO2e)</t>
  </si>
  <si>
    <t>IV</t>
  </si>
  <si>
    <t>Oral tablet</t>
  </si>
  <si>
    <t>Oral liquid</t>
  </si>
  <si>
    <t>Emissions per 1g dose (gCO2e)</t>
  </si>
  <si>
    <t>Replacing all i.v. doses with oral tablets would save 98.3% of the total direct costs, assuming the relative cost difference of i.v. and oral paracetamol remains similar.</t>
  </si>
  <si>
    <r>
      <rPr>
        <sz val="11"/>
        <color theme="1"/>
        <rFont val="Calibri"/>
      </rPr>
      <t>Substituting oral doses could have avoided up to 5.7 kt CO</t>
    </r>
    <r>
      <rPr>
        <vertAlign val="subscript"/>
        <sz val="11"/>
        <color theme="1"/>
        <rFont val="Calibri"/>
      </rPr>
      <t>2</t>
    </r>
    <r>
      <rPr>
        <sz val="11"/>
        <color theme="1"/>
        <rFont val="Calibri"/>
      </rPr>
      <t>e in the study year, or 88.6% of total estimated emissions</t>
    </r>
  </si>
  <si>
    <t>“Scoping” sustainability: rethinking sterile water use in colonoscopies - PMC</t>
  </si>
  <si>
    <t>Disposal Method</t>
  </si>
  <si>
    <t>Total emissions </t>
  </si>
  <si>
    <r>
      <rPr>
        <sz val="11"/>
        <color theme="1"/>
        <rFont val="Calibri"/>
      </rPr>
      <t>Average emissions per bottle (gCO</t>
    </r>
    <r>
      <rPr>
        <vertAlign val="subscript"/>
        <sz val="6"/>
        <color rgb="FF000000"/>
        <rFont val="Calibri"/>
      </rPr>
      <t>2</t>
    </r>
    <r>
      <rPr>
        <sz val="11"/>
        <color rgb="FF000000"/>
        <rFont val="Calibri"/>
      </rPr>
      <t xml:space="preserve"> equivalent)</t>
    </r>
  </si>
  <si>
    <t>Note</t>
  </si>
  <si>
    <r>
      <rPr>
        <sz val="11"/>
        <color theme="1"/>
        <rFont val="Calibri"/>
      </rPr>
      <t>(kgCO</t>
    </r>
    <r>
      <rPr>
        <vertAlign val="subscript"/>
        <sz val="6"/>
        <color rgb="FF000000"/>
        <rFont val="Calibri"/>
      </rPr>
      <t>2</t>
    </r>
    <r>
      <rPr>
        <sz val="11"/>
        <color rgb="FF000000"/>
        <rFont val="Calibri"/>
      </rPr>
      <t xml:space="preserve"> equivalent)</t>
    </r>
  </si>
  <si>
    <t>Direct landfill emissions are low due to the slow degradation of PP, but do not represent the long‐term impacts on the surrounding environment as it breaks down</t>
  </si>
  <si>
    <t>Recycling</t>
  </si>
  <si>
    <t>Healthcare facilities also face barriers to recycling, with many plastic bottles ending up in general or clinical waste despite PP being widely recyclable</t>
  </si>
  <si>
    <t>Highest emission waste disposal scenario</t>
  </si>
  <si>
    <t xml:space="preserve">Ripple Effect: Safety, Cost, and Environmental Concerns of Using Sterile Water in Endoscopy - Gastro Hep Advances </t>
  </si>
  <si>
    <r>
      <rPr>
        <sz val="11"/>
        <color theme="1"/>
        <rFont val="Calibri"/>
      </rPr>
      <t xml:space="preserve">The resultant carbon footprint of a 1 L sterile water bottle was </t>
    </r>
    <r>
      <rPr>
        <b/>
        <sz val="11"/>
        <color rgb="FF000000"/>
        <rFont val="Calibri"/>
      </rPr>
      <t>575 g CO</t>
    </r>
    <r>
      <rPr>
        <b/>
        <vertAlign val="subscript"/>
        <sz val="6"/>
        <color rgb="FF000000"/>
        <rFont val="Calibri"/>
      </rPr>
      <t>2</t>
    </r>
    <r>
      <rPr>
        <b/>
        <sz val="11"/>
        <color rgb="FF000000"/>
        <rFont val="Calibri"/>
      </rPr>
      <t xml:space="preserve"> equivalent</t>
    </r>
    <r>
      <rPr>
        <sz val="11"/>
        <color rgb="FF000000"/>
        <rFont val="Calibri"/>
      </rPr>
      <t>. Transport of sterile water bottles accounted for 61%, while materials and manufacturing accounted for 37% of the total emissions.</t>
    </r>
  </si>
  <si>
    <t>2024 Canadian Surgery Forum01 The green thumb of endoscopy: switching from sterile water to tap water</t>
  </si>
  <si>
    <t># of bottles avoided in trial</t>
  </si>
  <si>
    <t>Per month</t>
  </si>
  <si>
    <t># of procedures using sterile water (reference)</t>
  </si>
  <si>
    <t># of procedures using tap water (solution)</t>
  </si>
  <si>
    <t>Average # of procedures per year</t>
  </si>
  <si>
    <t>Prorated to 10,000 procedures per year</t>
  </si>
  <si>
    <t>Original PEACH Methodogy</t>
  </si>
  <si>
    <t>Link to original publication</t>
  </si>
  <si>
    <t>https://www.longwoods.com/articles/images/05-HQ-Vol25-No3-Sergeant-Table1.pdf</t>
  </si>
  <si>
    <t>PEACH Original Assumption of Hospital Size</t>
  </si>
  <si>
    <t>Comment</t>
  </si>
  <si>
    <r>
      <rPr>
        <b/>
        <sz val="11"/>
        <color theme="1"/>
        <rFont val="Calibri"/>
      </rPr>
      <t xml:space="preserve">Unit Impact: </t>
    </r>
    <r>
      <rPr>
        <sz val="11"/>
        <color theme="1"/>
        <rFont val="Calibri"/>
      </rPr>
      <t>Average GTHA Hospital Size Based on Total Beds</t>
    </r>
  </si>
  <si>
    <t xml:space="preserve">This average is based on site-level total number of beds from public sources such as official websites, ECDMs, and Wikipedia pages accessed in August 2025. Some figures may not be up-to-date, and the corporation subtotal doesn't always match the official CIHI figures on a corporation-level. Despite the discrepancies, site-level averages are used to better reflect the operational realities. Using corporate-level summaries would have skewed the average significantly towards the higher end. </t>
  </si>
  <si>
    <r>
      <rPr>
        <b/>
        <sz val="11"/>
        <color theme="1"/>
        <rFont val="Calibri"/>
      </rPr>
      <t xml:space="preserve">Local: </t>
    </r>
    <r>
      <rPr>
        <sz val="11"/>
        <color theme="1"/>
        <rFont val="Calibri"/>
      </rPr>
      <t>Unit Impact x Total Beds in Ontario (Unless Otherwise Specified)</t>
    </r>
  </si>
  <si>
    <t>CIHI 2023-2024</t>
  </si>
  <si>
    <r>
      <rPr>
        <b/>
        <sz val="11"/>
        <color theme="1"/>
        <rFont val="Calibri"/>
      </rPr>
      <t xml:space="preserve">National: </t>
    </r>
    <r>
      <rPr>
        <sz val="11"/>
        <color theme="1"/>
        <rFont val="Calibri"/>
      </rPr>
      <t>Unit Impact x Total Beds in Canada (Unless Otherwise Specified)</t>
    </r>
  </si>
  <si>
    <t>92336: CIHI 2023-2024 for Canada except SK (no records as of August 2025)
4144: CIHI 2022-2023 total beds in SK</t>
  </si>
  <si>
    <r>
      <rPr>
        <b/>
        <sz val="11"/>
        <color theme="1"/>
        <rFont val="Calibri"/>
      </rPr>
      <t xml:space="preserve">Global:  
Top-down Option: </t>
    </r>
    <r>
      <rPr>
        <sz val="11"/>
        <color theme="1"/>
        <rFont val="Calibri"/>
      </rPr>
      <t xml:space="preserve">Global Healtchcare Emissions x Average Percentage of Healthcare Emissions Targeted by a Solution x Average GHG Reduction (% or Absolute)
</t>
    </r>
    <r>
      <rPr>
        <b/>
        <sz val="11"/>
        <color theme="1"/>
        <rFont val="Calibri"/>
      </rPr>
      <t xml:space="preserve">Bottom-up Option: </t>
    </r>
    <r>
      <rPr>
        <sz val="11"/>
        <color theme="1"/>
        <rFont val="Calibri"/>
      </rPr>
      <t>Unit Impact x Total Number of Beds/Treatments/Patients Covered by a Solution; where Average % of Emissions Targeted could be based on various national sources (e.g. Canada, US, UK)</t>
    </r>
  </si>
  <si>
    <t xml:space="preserve">Depends on the method chosen. See solution-specific calculations. </t>
  </si>
  <si>
    <t>Updated Assumption of average GTHA hospital size</t>
  </si>
  <si>
    <t>Intervention</t>
  </si>
  <si>
    <t>Description/definition</t>
  </si>
  <si>
    <t>Cost or Savings</t>
  </si>
  <si>
    <t>Cost/savings amount estimate (first year)</t>
  </si>
  <si>
    <t>Cost or savings estimate (first year)</t>
  </si>
  <si>
    <t>Cost or savings explained: Numbers prorated to a 200-bed hospital</t>
  </si>
  <si>
    <t>GHG reduction estimate (T CO₂e)</t>
  </si>
  <si>
    <t>GHG reduction explained: Prorated to a 200-bed hospital over one year</t>
  </si>
  <si>
    <t>GHG reduction scaled to average # of beds in a GTHA hospital over one year (tCO2e)</t>
  </si>
  <si>
    <t>Cost/saving scaled to average # of beds in a GTHA hospital over one year</t>
  </si>
  <si>
    <t>Local GHG Reduction (tCO2e)</t>
  </si>
  <si>
    <t>National GHG Reduction (tCO2e)</t>
  </si>
  <si>
    <t>Global GHG Reduction (tCO2e)</t>
  </si>
  <si>
    <t>Instituting a leadership strategy</t>
  </si>
  <si>
    <t>A strategy to decrease GHGs is the overarching intervention for any facility. A hospital can choose a strategy that already exists, or create a novel approach.</t>
  </si>
  <si>
    <t>Cost: $50,000</t>
  </si>
  <si>
    <t>Administrative time spent creating or borrowing a sustainability strategy.</t>
  </si>
  <si>
    <t>(5,000 is the lower-end estimate). The leadership strategy can drive the hospital to make all, or many, of the interventions in this article. Without the strategy, it is difficult for individuals or green teams to make significant gains.</t>
  </si>
  <si>
    <t>Decarbonizing investments</t>
  </si>
  <si>
    <t>Hospital foundations have investments, and a certain percentage would be in FF funds. There are significant GHG savings created by divesting from FFs. It is possible to divest by 60–85%.</t>
  </si>
  <si>
    <t>Cost: $0</t>
  </si>
  <si>
    <t>We assumed no change in rate of return after divesting from FFs.</t>
  </si>
  <si>
    <t>We looked at the amounts held in the foundations of three urban hospitals in Ontario and took the lowest amount and prorated it to a smaller 200-bed hospital. This amount is $21 million. The market has approximately 192 T CO₂e per million US dollars in sales. Low carbon funds have 48 T per million (Cleary and Hakes 2021; Frankel et al. 2015).</t>
  </si>
  <si>
    <t>A new low-carbon building</t>
  </si>
  <si>
    <t>New buildings operate with minimal GHG production.</t>
  </si>
  <si>
    <t>Cost: $250000000</t>
  </si>
  <si>
    <t>In Ontario, a new hospital costs over $1 million per bed. A 200-bed hospital could cost $250 million.</t>
  </si>
  <si>
    <t>We consulted Greening Health Care,* which provided a comparison of the new Humber River Hospital (2015) to a standard, older Ontario hospital of approximately 30,000 square feet.</t>
  </si>
  <si>
    <t>Replacing oil and gas boilers</t>
  </si>
  <si>
    <t>Oil and gas boilers produce a large component of a hospital’s GHG contribution. Upgrading to energy-efficient boilers can reduce GHG production.</t>
  </si>
  <si>
    <t>Cost: $1000000</t>
  </si>
  <si>
    <t>Greening Health Care reported the average cost of upgrading gas and oil boilers in Ontario to be $750,000 to $1 million.</t>
  </si>
  <si>
    <t>Grand River Hospital (232 beds) reported that their upgrade in 2012 resulted in one-year GHG savings of 1,201 T (Greening Health Care 2018). This estimate did include an in-house technician to align use with wing and room occupancy patterns.</t>
  </si>
  <si>
    <t>Sustainable procurement contracts</t>
  </si>
  <si>
    <t>Hospitals work with procurement agencies that award contracts to companies … If sustainability is part of the scoring system, it motivates companies to develop sustainable products.</t>
  </si>
  <si>
    <t>Cost: $10,000</t>
  </si>
  <si>
    <t>Adapting a new procurement scoring system would be a small administrative cost to the organization. Assumed a $10,000 cost.</t>
  </si>
  <si>
    <t>(500 is the lower-end estimate.) The supply chain represents 54–62% of the GHG footprint in the healthcare sector (Eckelman and Sherman 2016; Tennison et al. 2021). Sustainable procurement strategy would result in large CO₂ reductions.†</t>
  </si>
  <si>
    <t>OR ventilation setbacks</t>
  </si>
  <si>
    <t>Other countries … do not run their OR ventilation at full settings during off-hours …</t>
  </si>
  <si>
    <t>Savings: $75,000</t>
  </si>
  <si>
    <t>Greening Health Care reports that Ontario hospitals can save an average of $75,000 annually.</t>
  </si>
  <si>
    <t>Greening Health Care reported that Ontario hospitals’ GHG savings were approximately 460 T CO₂e annually (Greening Health Care 2018).</t>
  </si>
  <si>
    <t>Desflurane reduction</t>
  </si>
  <si>
    <t>Anesthetic gases are released directly into the atmosphere … Desflurane has a considerably greater GHG burden per unit …</t>
  </si>
  <si>
    <t>Savings: $18,000</t>
  </si>
  <si>
    <t>Financial savings in a 400-bed hospital in Ontario from eliminating desflurane use was $30,000 annually.</t>
  </si>
  <si>
    <t>Sudbury Health Sciences North Hospital (454 beds) decreased GHG production by 723 T (Caycedo-Marulanda and Mathur 2022).</t>
  </si>
  <si>
    <t>Plant-rich diet for patients</t>
  </si>
  <si>
    <t>We looked at the GHG changes associated with providing a more plant-based diet … We chose an increase of 20% more plant-rich items.</t>
  </si>
  <si>
    <t>Cost: $1,000</t>
  </si>
  <si>
    <t>Local Ontario hospitals that had switched to plant-based meals reported that their costs were roughly unchanged.</t>
  </si>
  <si>
    <t>A study across three hospitals in California (1,078 beds) found a reduction of 1,648 T CO₂e annually with the reduction of meat products in patient meals (Lagasse and Neff 2010).</t>
  </si>
  <si>
    <t>Adding an energy manager</t>
  </si>
  <si>
    <t>A dedicated energy manager is hired to oversee and optimize all aspects of a hospital’s energy use.</t>
  </si>
  <si>
    <t>Cost: $100,000</t>
  </si>
  <si>
    <t>An energy manager in Ontario earns approximately $100,000 per year.</t>
  </si>
  <si>
    <t>A large hospital monitored electricity savings year by year over five years and converted the average electricity saved per year to GHG savings.</t>
  </si>
  <si>
    <t>Deprescribing strategy</t>
  </si>
  <si>
    <t>Deprescribing is done to decrease unnecessary medications, errors, interactions and side effects … A deprescribing program could decrease medication use by at least 5%.</t>
  </si>
  <si>
    <t>Savings: $1000000</t>
  </si>
  <si>
    <t>Financial data were obtained from a large Ontario hospital. A 200-bed hospital would spend $23 million per year on medications. $1M saving is the lower-end estimate.</t>
  </si>
  <si>
    <t>(100 is the lower-end estimate.) Pharmaceuticals contributed to 25% of Canadian healthcare GHG emissions in 2015 (Eckelman et al. 2018). A deprescribing campaign to reduce in-patient medication use by 5% would result in a CO₂ reduction over 100 T.‡</t>
  </si>
  <si>
    <t>Reusable gowns</t>
  </si>
  <si>
    <t>Gowns … are either disposable items or reusable items, which are sent to cleaning services to be washed and sterilized.</t>
  </si>
  <si>
    <t>In Ontario, an urban hospital had a small cost saving with reusable gowns, whereas a rural hospital had a cost increase. Therefore, we chose no change in cost.</t>
  </si>
  <si>
    <t>Reusable surgical gowns reduce GHGs by 1,079 kg CO₂e per 1,000 gowns (Vozzola et al. 2020). An Ontario hospital estimated that 80,000 gowns were used for in-patient care annually.</t>
  </si>
  <si>
    <t>Bike stations</t>
  </si>
  <si>
    <t>Many hospitals install bike stations … to encourage employees to bike to work …</t>
  </si>
  <si>
    <t>Most facilities that provide bike stations received co-funding. Data from a hospital installing a 22-spot bike locker indicated a rough cost of $10,000.</t>
  </si>
  <si>
    <t>A new 22-bike station might encourage 11 extra employees to bike to work regularly … Each new biker would eliminate the use of one full-sized gas vehicle driven 20,000 km annually, eliminating 5 T CO₂e (Plug’n Drive 2015).</t>
  </si>
  <si>
    <t>Retrofitting LED lights</t>
  </si>
  <si>
    <t>Replacing older lighting sources with LED lighting has the potential to significantly reduce energy expenditures.</t>
  </si>
  <si>
    <t>Cost: $73,000</t>
  </si>
  <si>
    <t>Kingston General Hospital (440 beds) reported an estimated annual cost savings of $77,000.</t>
  </si>
  <si>
    <t>Hamilton Health Sciences’ Juravinski Hospital Site (228 beds) reported GHG savings of 37 T CO₂e with their 2020 LED retrofit.</t>
  </si>
  <si>
    <t>Reusable “sharps” containers</t>
  </si>
  <si>
    <t>Needles are disposed in “sharps” containers … either disposable … or reusable and sterilized for reuse.</t>
  </si>
  <si>
    <t>Savings: $12,000</t>
  </si>
  <si>
    <t>Practice Greenhealth estimates an average cost reduction of $12,000.</t>
  </si>
  <si>
    <t>A study at Northwestern Memorial Hospital indicated a GHG reduction of 127 T CO₂e in one year with transition to reusable sharps containers (Grimmond and Reiner 2012).</t>
  </si>
  <si>
    <t>Zero-emission EV chargers</t>
  </si>
  <si>
    <t>A facility with an EV charger may encourage more employees to drive EVs …</t>
  </si>
  <si>
    <t>Cost: $16,000</t>
  </si>
  <si>
    <t>We looked at the cost of a level-2 charging station. Hospitals are responsible for paying the cost of electricity; we assumed this would limit the number of EV chargers (we chose four).</t>
  </si>
  <si>
    <t>Adding four EV chargers might encourage at least two more EV drivers. Replacing one full-sized gas vehicle with an EV driving 20,000 km annually saves ~5 T CO₂e (Plug’n Drive 2015).</t>
  </si>
  <si>
    <t>Choosing Wisely Canada for MRIs</t>
  </si>
  <si>
    <t>The Choosing Wisely program was developed to educate clinicians on minimizing unnecessary tests and investigations.</t>
  </si>
  <si>
    <t>Savings: $255,000</t>
  </si>
  <si>
    <t>We estimated an average MRI cost in Ontario to be $739. We assumed 10 MRI scans/day for a year and a 10% reduction in MRI use.</t>
  </si>
  <si>
    <t>Using one MRI machine for one year with typical use is ~107.8 T CO₂e; we assumed a 10% reduction in MRI use over one year.</t>
  </si>
  <si>
    <t>Reducing MDIs</t>
  </si>
  <si>
    <t>Respiratory inhalers can be delivered via MDI or DPI; MDI propellants increase GHG emissions …</t>
  </si>
  <si>
    <t>If patients are on the Ontario Drug Benefit plan, the cost to the hospital is approximately equal.</t>
  </si>
  <si>
    <t>A decreased use of in-patient MDIs of 10% should be possible … GHG differential of MDI vs DPI is ~28 kg CO₂e per inhaler (Jeswani &amp; Azapagic 2019).</t>
  </si>
  <si>
    <t>Choosing Wisely Canada for CBCs</t>
  </si>
  <si>
    <t>We looked at reducing the use of CBCs as an example of routine laboratory testing.</t>
  </si>
  <si>
    <t>Savings: $117,000</t>
  </si>
  <si>
    <t>Chose a goal of 10% reduction of CBCs per year; cost per test is $11, cost of performing the test is $15 (Hale 2015).</t>
  </si>
  <si>
    <t>Each CBC emits 116 g CO₂e (Ma et al. 2019). A large Ontario hospital processed 12,500 CBCs/month; we estimated a 10% annual reduction.</t>
  </si>
  <si>
    <t>Water station</t>
  </si>
  <si>
    <t>A water station allows employees to refill reusable bottles, reducing single-use plastics.</t>
  </si>
  <si>
    <t>Cost: $3,000</t>
  </si>
  <si>
    <t>A water station in Ontario cost ~$2,000; installation ~$1,000.</t>
  </si>
  <si>
    <t>Comparing tap vs. bottled water shows a GHG difference of 16 kg CO₂e per 100 L (Fantin et al. 2014). Annual use at a small Ontario hospital was ~3,375 L.</t>
  </si>
  <si>
    <t>Canada Supply of Family Medicine Physicians (CIHI, 2023)</t>
  </si>
  <si>
    <t>Jurisdiction</t>
  </si>
  <si>
    <t>Urban</t>
  </si>
  <si>
    <t>Rural/Remote</t>
  </si>
  <si>
    <t>Not Stated</t>
  </si>
  <si>
    <t>Total Supply of Family Medicine Physicians</t>
  </si>
  <si>
    <t>PEI</t>
  </si>
  <si>
    <t>NS</t>
  </si>
  <si>
    <t>QC</t>
  </si>
  <si>
    <t>ON</t>
  </si>
  <si>
    <t>MB</t>
  </si>
  <si>
    <t>SK</t>
  </si>
  <si>
    <t>AB</t>
  </si>
  <si>
    <t>BC</t>
  </si>
  <si>
    <t>YT</t>
  </si>
  <si>
    <t>NT</t>
  </si>
  <si>
    <t>NU</t>
  </si>
  <si>
    <t>Canada</t>
  </si>
  <si>
    <t>https://www.cihi.ca/en/the-state-of-the-health-workforce-in-canada-2023/go-in-depth-2023-health-workforce-data</t>
  </si>
  <si>
    <t>Population with a Regular Health Provider (GP, Medical Specialist, NP)</t>
  </si>
  <si>
    <t>Population Covered</t>
  </si>
  <si>
    <t>Newfoundland and Labrador</t>
  </si>
  <si>
    <t>Prince Edward Island</t>
  </si>
  <si>
    <t>Nova Scotia</t>
  </si>
  <si>
    <t>New Brunswick</t>
  </si>
  <si>
    <t>Manitoba</t>
  </si>
  <si>
    <t>Saskatchewan</t>
  </si>
  <si>
    <t>Alberta</t>
  </si>
  <si>
    <t>British Columbia</t>
  </si>
  <si>
    <t>Yukon*</t>
  </si>
  <si>
    <t>Northwest Territories*</t>
  </si>
  <si>
    <t>Nunavut*</t>
  </si>
  <si>
    <t>https://www.cihi.ca/sites/default/files/document/canadians-with-regular-health-provider-data-tables-en.xlsx</t>
  </si>
  <si>
    <t>Per-Practice Assumptions</t>
  </si>
  <si>
    <t>Number of doctors per practice</t>
  </si>
  <si>
    <t>Number of patients per practice</t>
  </si>
  <si>
    <t>Ontario (tCO2e/year)</t>
  </si>
  <si>
    <t>Canada (tCO2e)</t>
  </si>
  <si>
    <t>PEACH Primary Care Solutions</t>
  </si>
  <si>
    <t>Per-Practice GHG Impact (tCO2e per year per practice)</t>
  </si>
  <si>
    <t>GHG Impact Scaled by # of Physicians</t>
  </si>
  <si>
    <t>GHG Impact Scaled by # of Patients Enrolled to Practices</t>
  </si>
  <si>
    <t>Per-Practice Time Impact</t>
  </si>
  <si>
    <t>Net new physician for primary care</t>
  </si>
  <si>
    <t>Advanced care planning</t>
  </si>
  <si>
    <t>Deprescribing</t>
  </si>
  <si>
    <t>Plant-rich eating</t>
  </si>
  <si>
    <t>Social Rx for frailty</t>
  </si>
  <si>
    <t>MDI to DPI</t>
  </si>
  <si>
    <t>Countering mis/disinformation</t>
  </si>
  <si>
    <t>Virtual medicine (primary care practice)</t>
  </si>
  <si>
    <t>Active transport by patients (primary care practice)</t>
  </si>
  <si>
    <t>Reducing OTC medications</t>
  </si>
  <si>
    <t>Adopt green banking (primary care practice)</t>
  </si>
  <si>
    <t>Virtual conference (primary care practice)</t>
  </si>
  <si>
    <t>Green energy program (primary care practice)</t>
  </si>
  <si>
    <t>LED lights (primary care practice)</t>
  </si>
  <si>
    <t>AI scribe</t>
  </si>
  <si>
    <t>Refuse products from carbon intensive supplier (primary care practice)</t>
  </si>
  <si>
    <t>Office efficiency (primary care practice)</t>
  </si>
  <si>
    <t>Avoid unnecessary testing (primary care practice)</t>
  </si>
  <si>
    <t>Reduce, reuse, recycle (primary care practice)</t>
  </si>
  <si>
    <t>Required fields</t>
  </si>
  <si>
    <t>Confirm the default values or update with custom data</t>
  </si>
  <si>
    <t>Optional fields</t>
  </si>
  <si>
    <t>Leave blank if not available/applicable</t>
  </si>
  <si>
    <t>Usage Breakdown by Glove Type (% of total number of single gloves purchased)</t>
  </si>
  <si>
    <t>Link</t>
  </si>
  <si>
    <t>g per single glove</t>
  </si>
  <si>
    <t>Average Weight by Material Type</t>
  </si>
  <si>
    <t>Usage Breakdown by Material Type</t>
  </si>
  <si>
    <t>Glove reduction Target</t>
  </si>
  <si>
    <t>Estimated GHG savings based on reduction target</t>
  </si>
  <si>
    <t>Total costs of gloves procurement per year</t>
  </si>
  <si>
    <t>*Default values are based on averages from literature. If actual weight data is available, overwrite cells D51 to D55</t>
  </si>
  <si>
    <t>km driven by the average gasoline-powered passenger vehicle</t>
  </si>
  <si>
    <t>Life cycle avoided emissions equivalent to</t>
  </si>
  <si>
    <t>Results: Baseline and Key Benefits of Glove Reduction</t>
  </si>
  <si>
    <t>Estimated GHG Baseline (tCO2e/year)</t>
  </si>
  <si>
    <t>Estimated GHG Savings based on Reduction Target (tCO2e/year))</t>
  </si>
  <si>
    <r>
      <t xml:space="preserve">About </t>
    </r>
    <r>
      <rPr>
        <b/>
        <i/>
        <sz val="14"/>
        <color theme="1"/>
        <rFont val="Roboto"/>
      </rPr>
      <t>Decarbonization in Action</t>
    </r>
  </si>
  <si>
    <t xml:space="preserve">https://greenhealthcare.ca/accelerating-decarbonization/  </t>
  </si>
  <si>
    <t>Disclaimer</t>
  </si>
  <si>
    <t>*Default values are based on the estimated total number of gloves and breakdown by type. If purchasing data is available by glove type, overwrite cells E35 to E39 with actual unit data</t>
  </si>
  <si>
    <t>Cardboard box: recycled
Gloves: landfilled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</si>
</sst>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00"/>
    <numFmt numFmtId="165" formatCode="0.0"/>
    <numFmt numFmtId="166" formatCode="&quot;CA$&quot;#,##0"/>
    <numFmt numFmtId="167" formatCode="_-* #,##0_-;\-* #,##0_-;_-* &quot;-&quot;??_-;_-@"/>
    <numFmt numFmtId="168" formatCode="_-[$£-809]* #,##0.00_-;\-[$£-809]* #,##0.00_-;_-[$£-809]* &quot;-&quot;??_-;_-@"/>
    <numFmt numFmtId="169" formatCode="_-&quot;$&quot;* #,##0_-;\-&quot;$&quot;* #,##0_-;_-&quot;$&quot;* &quot;-&quot;??_-;_-@"/>
    <numFmt numFmtId="170" formatCode="_-* #,##0.00_-;\-* #,##0.00_-;_-* &quot;-&quot;??_-;_-@"/>
    <numFmt numFmtId="171" formatCode="#,##0.0"/>
  </numFmts>
  <fonts count="50">
    <font>
      <sz val="10"/>
      <color rgb="FF000000"/>
      <name val="Arial"/>
      <scheme val="minor"/>
    </font>
    <font>
      <b/>
      <sz val="10"/>
      <color rgb="FFFFFFFF"/>
      <name val="Arial"/>
    </font>
    <font>
      <b/>
      <sz val="10"/>
      <color theme="0"/>
      <name val="Arial"/>
    </font>
    <font>
      <sz val="10"/>
      <color theme="1"/>
      <name val="Arial"/>
    </font>
    <font>
      <sz val="10"/>
      <color rgb="FF000000"/>
      <name val="Arial"/>
    </font>
    <font>
      <b/>
      <sz val="10"/>
      <color theme="1"/>
      <name val="Arial"/>
    </font>
    <font>
      <sz val="10"/>
      <name val="Arial"/>
    </font>
    <font>
      <u/>
      <sz val="10"/>
      <color rgb="FF0000FF"/>
      <name val="Arial"/>
    </font>
    <font>
      <sz val="10"/>
      <color theme="1"/>
      <name val="Arial"/>
      <scheme val="minor"/>
    </font>
    <font>
      <u/>
      <sz val="10"/>
      <color rgb="FF0000FF"/>
      <name val="Arial"/>
    </font>
    <font>
      <sz val="11"/>
      <color rgb="FF002060"/>
      <name val="Calibri"/>
    </font>
    <font>
      <b/>
      <sz val="11"/>
      <color rgb="FF002060"/>
      <name val="Calibri"/>
    </font>
    <font>
      <b/>
      <sz val="11"/>
      <color theme="1"/>
      <name val="Calibri"/>
    </font>
    <font>
      <sz val="11"/>
      <color theme="1"/>
      <name val="Calibri"/>
    </font>
    <font>
      <b/>
      <sz val="11"/>
      <color rgb="FF3F3F3F"/>
      <name val="Calibri"/>
    </font>
    <font>
      <b/>
      <sz val="11"/>
      <color rgb="FFFA7D00"/>
      <name val="Calibri"/>
    </font>
    <font>
      <sz val="11"/>
      <color rgb="FF3F3F3F"/>
      <name val="Calibri"/>
    </font>
    <font>
      <sz val="11"/>
      <color rgb="FFFA7D00"/>
      <name val="Calibri"/>
    </font>
    <font>
      <u/>
      <sz val="11"/>
      <color rgb="FF0563C1"/>
      <name val="Calibri"/>
    </font>
    <font>
      <b/>
      <sz val="11"/>
      <color rgb="FFFF9900"/>
      <name val="Calibri"/>
    </font>
    <font>
      <u/>
      <sz val="11"/>
      <color rgb="FF0000FF"/>
      <name val="Calibri"/>
    </font>
    <font>
      <u/>
      <sz val="11"/>
      <color rgb="FF0000FF"/>
      <name val="Calibri"/>
    </font>
    <font>
      <b/>
      <sz val="11"/>
      <color rgb="FF000000"/>
      <name val="Calibri"/>
    </font>
    <font>
      <sz val="11"/>
      <color rgb="FF000000"/>
      <name val="Calibri"/>
    </font>
    <font>
      <u/>
      <sz val="11"/>
      <color rgb="FF000000"/>
      <name val="Calibri"/>
    </font>
    <font>
      <b/>
      <sz val="11"/>
      <color rgb="FFFFFFFF"/>
      <name val="Arial"/>
    </font>
    <font>
      <sz val="11"/>
      <color theme="1"/>
      <name val="Arial"/>
    </font>
    <font>
      <b/>
      <sz val="11"/>
      <color theme="1"/>
      <name val="Arial"/>
    </font>
    <font>
      <sz val="10"/>
      <color rgb="FF4A86E8"/>
      <name val="Arial"/>
    </font>
    <font>
      <sz val="11"/>
      <name val="Calibri"/>
    </font>
    <font>
      <u/>
      <sz val="11"/>
      <color rgb="FF1155CC"/>
      <name val="Calibri"/>
    </font>
    <font>
      <vertAlign val="subscript"/>
      <sz val="11"/>
      <color theme="1"/>
      <name val="Calibri"/>
    </font>
    <font>
      <vertAlign val="subscript"/>
      <sz val="6"/>
      <color rgb="FF000000"/>
      <name val="Calibri"/>
    </font>
    <font>
      <b/>
      <vertAlign val="subscript"/>
      <sz val="6"/>
      <color rgb="FF000000"/>
      <name val="Calibri"/>
    </font>
    <font>
      <u/>
      <sz val="10"/>
      <color theme="10"/>
      <name val="Arial"/>
      <scheme val="minor"/>
    </font>
    <font>
      <sz val="10"/>
      <color rgb="FF000000"/>
      <name val="Arial"/>
      <scheme val="minor"/>
    </font>
    <font>
      <sz val="10"/>
      <color theme="1"/>
      <name val="Arial"/>
      <family val="2"/>
    </font>
    <font>
      <b/>
      <sz val="11"/>
      <color rgb="FF7F7F7F"/>
      <name val="Calibri"/>
      <family val="2"/>
    </font>
    <font>
      <sz val="11"/>
      <color theme="1"/>
      <name val="Calibri"/>
      <family val="2"/>
    </font>
    <font>
      <b/>
      <sz val="10"/>
      <color theme="8"/>
      <name val="Arial"/>
      <family val="2"/>
      <scheme val="minor"/>
    </font>
    <font>
      <b/>
      <sz val="10"/>
      <color theme="1"/>
      <name val="Arial"/>
      <family val="2"/>
    </font>
    <font>
      <u/>
      <sz val="10"/>
      <color rgb="FF0000FF"/>
      <name val="Arial"/>
      <family val="2"/>
    </font>
    <font>
      <b/>
      <sz val="10"/>
      <color theme="0"/>
      <name val="Arial"/>
      <family val="2"/>
    </font>
    <font>
      <b/>
      <sz val="10"/>
      <name val="Arial"/>
      <family val="2"/>
    </font>
    <font>
      <i/>
      <sz val="10"/>
      <color rgb="FF000000"/>
      <name val="Arial"/>
      <family val="2"/>
      <scheme val="minor"/>
    </font>
    <font>
      <b/>
      <sz val="10"/>
      <color rgb="FFFFFFFF"/>
      <name val="Arial"/>
      <family val="2"/>
    </font>
    <font>
      <b/>
      <sz val="14"/>
      <color theme="1"/>
      <name val="Roboto"/>
    </font>
    <font>
      <b/>
      <i/>
      <sz val="14"/>
      <color theme="1"/>
      <name val="Roboto"/>
    </font>
    <font>
      <u/>
      <sz val="11"/>
      <color rgb="FF00B0F0"/>
      <name val="Roboto"/>
    </font>
    <font>
      <b/>
      <sz val="14"/>
      <name val="Roboto"/>
    </font>
  </fonts>
  <fills count="25">
    <fill>
      <patternFill patternType="none"/>
    </fill>
    <fill>
      <patternFill patternType="gray125"/>
    </fill>
    <fill>
      <patternFill patternType="solid">
        <fgColor rgb="FFFFFFFF"/>
        <bgColor rgb="FFFFFFFF"/>
      </patternFill>
    </fill>
    <fill>
      <patternFill patternType="solid">
        <fgColor rgb="FF38761D"/>
        <bgColor rgb="FF38761D"/>
      </patternFill>
    </fill>
    <fill>
      <patternFill patternType="solid">
        <fgColor rgb="FFFFFF00"/>
        <bgColor rgb="FFFFFF00"/>
      </patternFill>
    </fill>
    <fill>
      <patternFill patternType="solid">
        <fgColor rgb="FFD9EAD3"/>
        <bgColor rgb="FFD9EAD3"/>
      </patternFill>
    </fill>
    <fill>
      <patternFill patternType="solid">
        <fgColor rgb="FFFCE5CD"/>
        <bgColor rgb="FFFCE5CD"/>
      </patternFill>
    </fill>
    <fill>
      <patternFill patternType="solid">
        <fgColor rgb="FFD9D9D9"/>
        <bgColor rgb="FFD9D9D9"/>
      </patternFill>
    </fill>
    <fill>
      <patternFill patternType="solid">
        <fgColor rgb="FFFF9900"/>
        <bgColor rgb="FFFF9900"/>
      </patternFill>
    </fill>
    <fill>
      <patternFill patternType="solid">
        <fgColor rgb="FFF2F2F2"/>
        <bgColor rgb="FFF2F2F2"/>
      </patternFill>
    </fill>
    <fill>
      <patternFill patternType="solid">
        <fgColor rgb="FFD9E2F3"/>
        <bgColor rgb="FFD9E2F3"/>
      </patternFill>
    </fill>
    <fill>
      <patternFill patternType="solid">
        <fgColor rgb="FFB4C6E7"/>
        <bgColor rgb="FFB4C6E7"/>
      </patternFill>
    </fill>
    <fill>
      <patternFill patternType="solid">
        <fgColor rgb="FF58595B"/>
        <bgColor rgb="FF58595B"/>
      </patternFill>
    </fill>
    <fill>
      <patternFill patternType="solid">
        <fgColor rgb="FFCCCCCC"/>
        <bgColor rgb="FFCCCCCC"/>
      </patternFill>
    </fill>
    <fill>
      <patternFill patternType="solid">
        <fgColor theme="0"/>
        <bgColor theme="0"/>
      </patternFill>
    </fill>
    <fill>
      <patternFill patternType="solid">
        <fgColor theme="8" tint="0.79998168889431442"/>
        <bgColor indexed="64"/>
      </patternFill>
    </fill>
    <fill>
      <patternFill patternType="solid">
        <fgColor theme="8" tint="0.79998168889431442"/>
        <bgColor rgb="FFFFFF00"/>
      </patternFill>
    </fill>
    <fill>
      <patternFill patternType="solid">
        <fgColor theme="8" tint="0.79998168889431442"/>
        <bgColor rgb="FFFFF2CC"/>
      </patternFill>
    </fill>
    <fill>
      <patternFill patternType="solid">
        <fgColor theme="0" tint="-0.14999847407452621"/>
        <bgColor rgb="FFECECEC"/>
      </patternFill>
    </fill>
    <fill>
      <patternFill patternType="solid">
        <fgColor theme="0"/>
        <bgColor rgb="FFD9EAD3"/>
      </patternFill>
    </fill>
    <fill>
      <patternFill patternType="solid">
        <fgColor theme="0"/>
        <bgColor indexed="64"/>
      </patternFill>
    </fill>
    <fill>
      <patternFill patternType="solid">
        <fgColor theme="0" tint="-0.14999847407452621"/>
        <bgColor rgb="FFFFF2CC"/>
      </patternFill>
    </fill>
    <fill>
      <patternFill patternType="solid">
        <fgColor theme="0" tint="-0.14999847407452621"/>
        <bgColor rgb="FFFFFF00"/>
      </patternFill>
    </fill>
    <fill>
      <patternFill patternType="solid">
        <fgColor theme="0"/>
        <bgColor rgb="FF38761D"/>
      </patternFill>
    </fill>
    <fill>
      <patternFill patternType="solid">
        <fgColor rgb="FFC6EDB5"/>
        <bgColor indexed="64"/>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53D5F"/>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rgb="FF053D5F"/>
      </left>
      <right/>
      <top style="thin">
        <color rgb="FF053D5F"/>
      </top>
      <bottom style="thin">
        <color rgb="FF053D5F"/>
      </bottom>
      <diagonal/>
    </border>
    <border>
      <left style="thin">
        <color rgb="FF053D5F"/>
      </left>
      <right style="thin">
        <color rgb="FF053D5F"/>
      </right>
      <top style="thin">
        <color rgb="FF053D5F"/>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rgb="FF3F3F3F"/>
      </right>
      <top style="thin">
        <color rgb="FF3F3F3F"/>
      </top>
      <bottom/>
      <diagonal/>
    </border>
    <border>
      <left style="thin">
        <color rgb="FF3F3F3F"/>
      </left>
      <right style="thin">
        <color rgb="FF3F3F3F"/>
      </right>
      <top style="thin">
        <color rgb="FF3F3F3F"/>
      </top>
      <bottom/>
      <diagonal/>
    </border>
    <border>
      <left style="thin">
        <color rgb="FF7F7F7F"/>
      </left>
      <right style="thin">
        <color rgb="FF7F7F7F"/>
      </right>
      <top style="thin">
        <color rgb="FF7F7F7F"/>
      </top>
      <bottom/>
      <diagonal/>
    </border>
    <border>
      <left style="thin">
        <color rgb="FF000000"/>
      </left>
      <right style="thin">
        <color rgb="FF000000"/>
      </right>
      <top style="thin">
        <color rgb="FF000000"/>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
      <left/>
      <right style="thin">
        <color rgb="FFFFFFFF"/>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4" fillId="0" borderId="0" applyNumberFormat="0" applyFill="0" applyBorder="0" applyAlignment="0" applyProtection="0"/>
    <xf numFmtId="43" fontId="35" fillId="0" borderId="0" applyFont="0" applyFill="0" applyBorder="0" applyAlignment="0" applyProtection="0"/>
  </cellStyleXfs>
  <cellXfs count="224">
    <xf numFmtId="0" fontId="0" fillId="0" borderId="0" xfId="0" applyFont="1" applyAlignment="1"/>
    <xf numFmtId="0" fontId="1" fillId="3" borderId="2" xfId="0" applyFont="1" applyFill="1" applyBorder="1"/>
    <xf numFmtId="0" fontId="2" fillId="3" borderId="2" xfId="0" applyFont="1" applyFill="1" applyBorder="1"/>
    <xf numFmtId="0" fontId="3" fillId="0" borderId="0" xfId="0" applyFont="1" applyAlignment="1">
      <alignment wrapText="1"/>
    </xf>
    <xf numFmtId="0" fontId="3" fillId="0" borderId="0" xfId="0" applyFont="1"/>
    <xf numFmtId="0" fontId="4" fillId="0" borderId="0" xfId="0" applyFont="1" applyAlignment="1">
      <alignment wrapText="1"/>
    </xf>
    <xf numFmtId="0" fontId="5" fillId="0" borderId="2" xfId="0" applyFont="1" applyBorder="1"/>
    <xf numFmtId="0" fontId="3" fillId="0" borderId="2" xfId="0" applyFont="1" applyBorder="1"/>
    <xf numFmtId="0" fontId="4" fillId="0" borderId="2" xfId="0" applyFont="1" applyBorder="1"/>
    <xf numFmtId="3" fontId="1" fillId="3" borderId="2" xfId="0" applyNumberFormat="1" applyFont="1" applyFill="1" applyBorder="1"/>
    <xf numFmtId="3" fontId="3" fillId="0" borderId="2" xfId="0" applyNumberFormat="1" applyFont="1" applyBorder="1"/>
    <xf numFmtId="0" fontId="7" fillId="0" borderId="2" xfId="0" applyFont="1" applyBorder="1"/>
    <xf numFmtId="0" fontId="5" fillId="5" borderId="2" xfId="0" applyFont="1" applyFill="1" applyBorder="1" applyAlignment="1">
      <alignment wrapText="1"/>
    </xf>
    <xf numFmtId="9" fontId="3" fillId="0" borderId="2" xfId="0" applyNumberFormat="1" applyFont="1" applyBorder="1"/>
    <xf numFmtId="0" fontId="5" fillId="0" borderId="0" xfId="0" applyFont="1"/>
    <xf numFmtId="0" fontId="5" fillId="5" borderId="2" xfId="0" applyFont="1" applyFill="1" applyBorder="1"/>
    <xf numFmtId="0" fontId="5" fillId="5" borderId="6" xfId="0" applyFont="1" applyFill="1" applyBorder="1" applyAlignment="1">
      <alignment wrapText="1"/>
    </xf>
    <xf numFmtId="0" fontId="5" fillId="5" borderId="6" xfId="0" applyFont="1" applyFill="1" applyBorder="1"/>
    <xf numFmtId="164" fontId="3" fillId="0" borderId="2" xfId="0" applyNumberFormat="1" applyFont="1" applyBorder="1"/>
    <xf numFmtId="0" fontId="3" fillId="0" borderId="3" xfId="0" applyFont="1" applyBorder="1"/>
    <xf numFmtId="0" fontId="3" fillId="0" borderId="2" xfId="0" applyFont="1" applyBorder="1" applyAlignment="1">
      <alignment wrapText="1"/>
    </xf>
    <xf numFmtId="0" fontId="3" fillId="0" borderId="7" xfId="0" applyFont="1" applyBorder="1" applyAlignment="1">
      <alignment wrapText="1"/>
    </xf>
    <xf numFmtId="11" fontId="8" fillId="0" borderId="0" xfId="0" applyNumberFormat="1" applyFont="1" applyAlignment="1"/>
    <xf numFmtId="0" fontId="3" fillId="0" borderId="2" xfId="0" applyFont="1" applyBorder="1" applyAlignment="1">
      <alignment wrapText="1"/>
    </xf>
    <xf numFmtId="0" fontId="4" fillId="0" borderId="2" xfId="0" applyFont="1" applyBorder="1" applyAlignment="1">
      <alignment wrapText="1"/>
    </xf>
    <xf numFmtId="0" fontId="4" fillId="0" borderId="0" xfId="0" applyFont="1"/>
    <xf numFmtId="2" fontId="5" fillId="0" borderId="0" xfId="0" applyNumberFormat="1" applyFont="1"/>
    <xf numFmtId="2" fontId="3" fillId="0" borderId="0" xfId="0" applyNumberFormat="1" applyFont="1"/>
    <xf numFmtId="0" fontId="9" fillId="0" borderId="0" xfId="0" applyFont="1"/>
    <xf numFmtId="9" fontId="3" fillId="0" borderId="0" xfId="0" applyNumberFormat="1" applyFont="1"/>
    <xf numFmtId="3" fontId="3" fillId="0" borderId="0" xfId="0" applyNumberFormat="1" applyFont="1"/>
    <xf numFmtId="1" fontId="3" fillId="0" borderId="0" xfId="0" applyNumberFormat="1" applyFont="1"/>
    <xf numFmtId="0" fontId="5" fillId="5" borderId="1" xfId="0" applyFont="1" applyFill="1" applyBorder="1"/>
    <xf numFmtId="3" fontId="3" fillId="5" borderId="1" xfId="0" applyNumberFormat="1" applyFont="1" applyFill="1" applyBorder="1"/>
    <xf numFmtId="0" fontId="3" fillId="5" borderId="1" xfId="0" applyFont="1" applyFill="1" applyBorder="1"/>
    <xf numFmtId="166" fontId="5" fillId="0" borderId="0" xfId="0" applyNumberFormat="1" applyFont="1"/>
    <xf numFmtId="0" fontId="10" fillId="0" borderId="0" xfId="0" applyFont="1" applyAlignment="1">
      <alignment horizontal="center"/>
    </xf>
    <xf numFmtId="0" fontId="11" fillId="2" borderId="1" xfId="0" applyFont="1" applyFill="1" applyBorder="1"/>
    <xf numFmtId="0" fontId="10" fillId="2" borderId="1" xfId="0" applyFont="1" applyFill="1" applyBorder="1"/>
    <xf numFmtId="166" fontId="3" fillId="5" borderId="1" xfId="0" applyNumberFormat="1" applyFont="1" applyFill="1" applyBorder="1"/>
    <xf numFmtId="0" fontId="11" fillId="4" borderId="8" xfId="0" applyFont="1" applyFill="1" applyBorder="1" applyAlignment="1">
      <alignment wrapText="1"/>
    </xf>
    <xf numFmtId="0" fontId="10" fillId="4" borderId="8" xfId="0" applyFont="1" applyFill="1" applyBorder="1" applyAlignment="1">
      <alignment wrapText="1"/>
    </xf>
    <xf numFmtId="0" fontId="10" fillId="0" borderId="0" xfId="0" applyFont="1" applyAlignment="1">
      <alignment horizontal="center" wrapText="1"/>
    </xf>
    <xf numFmtId="0" fontId="10" fillId="4" borderId="8" xfId="0" applyFont="1" applyFill="1" applyBorder="1"/>
    <xf numFmtId="0" fontId="10" fillId="0" borderId="8" xfId="0" applyFont="1" applyBorder="1" applyAlignment="1">
      <alignment horizontal="center"/>
    </xf>
    <xf numFmtId="0" fontId="10" fillId="0" borderId="9" xfId="0" applyFont="1" applyBorder="1" applyAlignment="1">
      <alignment horizontal="center"/>
    </xf>
    <xf numFmtId="0" fontId="3" fillId="6" borderId="2" xfId="0" applyFont="1" applyFill="1" applyBorder="1"/>
    <xf numFmtId="0" fontId="10" fillId="0" borderId="8" xfId="0" applyFont="1" applyBorder="1"/>
    <xf numFmtId="0" fontId="10" fillId="7" borderId="8" xfId="0" applyFont="1" applyFill="1" applyBorder="1"/>
    <xf numFmtId="0" fontId="10" fillId="7" borderId="10" xfId="0" applyFont="1" applyFill="1" applyBorder="1"/>
    <xf numFmtId="0" fontId="10" fillId="6" borderId="2" xfId="0" applyFont="1" applyFill="1" applyBorder="1"/>
    <xf numFmtId="0" fontId="10" fillId="0" borderId="9" xfId="0" applyFont="1" applyBorder="1"/>
    <xf numFmtId="0" fontId="10" fillId="8" borderId="8" xfId="0" applyFont="1" applyFill="1" applyBorder="1"/>
    <xf numFmtId="0" fontId="12" fillId="0" borderId="0" xfId="0" applyFont="1"/>
    <xf numFmtId="0" fontId="13" fillId="0" borderId="0" xfId="0" applyFont="1"/>
    <xf numFmtId="0" fontId="12" fillId="0" borderId="2" xfId="0" applyFont="1" applyBorder="1"/>
    <xf numFmtId="0" fontId="13" fillId="0" borderId="2" xfId="0" applyFont="1" applyBorder="1" applyAlignment="1">
      <alignment horizontal="right"/>
    </xf>
    <xf numFmtId="0" fontId="5" fillId="0" borderId="0" xfId="0" applyFont="1" applyAlignment="1">
      <alignment horizontal="left"/>
    </xf>
    <xf numFmtId="0" fontId="3" fillId="0" borderId="0" xfId="0" applyFont="1" applyAlignment="1">
      <alignment horizontal="left"/>
    </xf>
    <xf numFmtId="0" fontId="3" fillId="0" borderId="2" xfId="0" applyFont="1" applyBorder="1" applyAlignment="1">
      <alignment horizontal="left"/>
    </xf>
    <xf numFmtId="0" fontId="12" fillId="0" borderId="2" xfId="0" applyFont="1" applyBorder="1" applyAlignment="1">
      <alignment horizontal="left" wrapText="1"/>
    </xf>
    <xf numFmtId="0" fontId="13" fillId="0" borderId="2" xfId="0" applyFont="1" applyBorder="1" applyAlignment="1">
      <alignment horizontal="left" wrapText="1"/>
    </xf>
    <xf numFmtId="0" fontId="13" fillId="0" borderId="2" xfId="0" applyFont="1" applyBorder="1" applyAlignment="1">
      <alignment horizontal="left"/>
    </xf>
    <xf numFmtId="0" fontId="14" fillId="9" borderId="14" xfId="0" applyFont="1" applyFill="1" applyBorder="1"/>
    <xf numFmtId="0" fontId="15" fillId="9" borderId="15" xfId="0" applyFont="1" applyFill="1" applyBorder="1"/>
    <xf numFmtId="0" fontId="12" fillId="0" borderId="0" xfId="0" applyFont="1" applyAlignment="1">
      <alignment wrapText="1"/>
    </xf>
    <xf numFmtId="0" fontId="13" fillId="0" borderId="2" xfId="0" applyFont="1" applyBorder="1" applyAlignment="1">
      <alignment wrapText="1"/>
    </xf>
    <xf numFmtId="0" fontId="16" fillId="9" borderId="2" xfId="0" applyFont="1" applyFill="1" applyBorder="1" applyAlignment="1">
      <alignment horizontal="right"/>
    </xf>
    <xf numFmtId="167" fontId="16" fillId="9" borderId="16" xfId="0" applyNumberFormat="1" applyFont="1" applyFill="1" applyBorder="1" applyAlignment="1">
      <alignment horizontal="right" wrapText="1"/>
    </xf>
    <xf numFmtId="167" fontId="16" fillId="9" borderId="14" xfId="0" applyNumberFormat="1" applyFont="1" applyFill="1" applyBorder="1" applyAlignment="1">
      <alignment horizontal="right"/>
    </xf>
    <xf numFmtId="167" fontId="16" fillId="9" borderId="14" xfId="0" applyNumberFormat="1" applyFont="1" applyFill="1" applyBorder="1"/>
    <xf numFmtId="167" fontId="17" fillId="9" borderId="15" xfId="0" applyNumberFormat="1" applyFont="1" applyFill="1" applyBorder="1" applyAlignment="1">
      <alignment horizontal="right"/>
    </xf>
    <xf numFmtId="167" fontId="13" fillId="9" borderId="14" xfId="0" applyNumberFormat="1" applyFont="1" applyFill="1" applyBorder="1"/>
    <xf numFmtId="0" fontId="18" fillId="0" borderId="0" xfId="0" applyFont="1"/>
    <xf numFmtId="0" fontId="13" fillId="0" borderId="2" xfId="0" applyFont="1" applyBorder="1"/>
    <xf numFmtId="168" fontId="16" fillId="9" borderId="14" xfId="0" applyNumberFormat="1" applyFont="1" applyFill="1" applyBorder="1" applyAlignment="1">
      <alignment horizontal="right"/>
    </xf>
    <xf numFmtId="169" fontId="17" fillId="9" borderId="15" xfId="0" applyNumberFormat="1" applyFont="1" applyFill="1" applyBorder="1" applyAlignment="1">
      <alignment horizontal="right"/>
    </xf>
    <xf numFmtId="9" fontId="16" fillId="9" borderId="14" xfId="0" applyNumberFormat="1" applyFont="1" applyFill="1" applyBorder="1" applyAlignment="1">
      <alignment horizontal="right"/>
    </xf>
    <xf numFmtId="9" fontId="13" fillId="9" borderId="14" xfId="0" applyNumberFormat="1" applyFont="1" applyFill="1" applyBorder="1"/>
    <xf numFmtId="0" fontId="16" fillId="9" borderId="17" xfId="0" applyFont="1" applyFill="1" applyBorder="1" applyAlignment="1">
      <alignment wrapText="1"/>
    </xf>
    <xf numFmtId="0" fontId="16" fillId="9" borderId="18" xfId="0" applyFont="1" applyFill="1" applyBorder="1" applyAlignment="1">
      <alignment horizontal="right"/>
    </xf>
    <xf numFmtId="10" fontId="16" fillId="9" borderId="18" xfId="0" applyNumberFormat="1" applyFont="1" applyFill="1" applyBorder="1" applyAlignment="1">
      <alignment horizontal="right"/>
    </xf>
    <xf numFmtId="167" fontId="17" fillId="9" borderId="19" xfId="0" applyNumberFormat="1" applyFont="1" applyFill="1" applyBorder="1" applyAlignment="1">
      <alignment horizontal="right"/>
    </xf>
    <xf numFmtId="10" fontId="16" fillId="9" borderId="18" xfId="0" applyNumberFormat="1" applyFont="1" applyFill="1" applyBorder="1" applyAlignment="1">
      <alignment wrapText="1"/>
    </xf>
    <xf numFmtId="169" fontId="17" fillId="9" borderId="19" xfId="0" applyNumberFormat="1" applyFont="1" applyFill="1" applyBorder="1"/>
    <xf numFmtId="0" fontId="16" fillId="9" borderId="18" xfId="0" applyFont="1" applyFill="1" applyBorder="1" applyAlignment="1">
      <alignment wrapText="1"/>
    </xf>
    <xf numFmtId="167" fontId="16" fillId="9" borderId="18" xfId="0" applyNumberFormat="1" applyFont="1" applyFill="1" applyBorder="1"/>
    <xf numFmtId="167" fontId="19" fillId="0" borderId="2" xfId="0" applyNumberFormat="1" applyFont="1" applyBorder="1" applyAlignment="1">
      <alignment horizontal="right"/>
    </xf>
    <xf numFmtId="0" fontId="12" fillId="0" borderId="2" xfId="0" applyFont="1" applyBorder="1" applyAlignment="1">
      <alignment horizontal="center"/>
    </xf>
    <xf numFmtId="0" fontId="12" fillId="0" borderId="2" xfId="0" applyFont="1" applyBorder="1" applyAlignment="1">
      <alignment horizontal="center" wrapText="1"/>
    </xf>
    <xf numFmtId="0" fontId="20" fillId="0" borderId="2" xfId="0" applyFont="1" applyBorder="1"/>
    <xf numFmtId="0" fontId="21" fillId="0" borderId="2" xfId="0" applyFont="1" applyBorder="1" applyAlignment="1">
      <alignment wrapText="1"/>
    </xf>
    <xf numFmtId="11" fontId="13" fillId="0" borderId="2" xfId="0" applyNumberFormat="1" applyFont="1" applyBorder="1" applyAlignment="1">
      <alignment horizontal="right"/>
    </xf>
    <xf numFmtId="3" fontId="13" fillId="0" borderId="2" xfId="0" applyNumberFormat="1" applyFont="1" applyBorder="1" applyAlignment="1">
      <alignment horizontal="right"/>
    </xf>
    <xf numFmtId="11" fontId="13" fillId="0" borderId="2" xfId="0" applyNumberFormat="1" applyFont="1" applyBorder="1"/>
    <xf numFmtId="9" fontId="13" fillId="0" borderId="2" xfId="0" applyNumberFormat="1" applyFont="1" applyBorder="1" applyAlignment="1">
      <alignment horizontal="right"/>
    </xf>
    <xf numFmtId="167" fontId="13" fillId="0" borderId="2" xfId="0" applyNumberFormat="1" applyFont="1" applyBorder="1" applyAlignment="1">
      <alignment horizontal="right"/>
    </xf>
    <xf numFmtId="9" fontId="13" fillId="0" borderId="2" xfId="0" applyNumberFormat="1" applyFont="1" applyBorder="1"/>
    <xf numFmtId="170" fontId="13" fillId="0" borderId="2" xfId="0" applyNumberFormat="1" applyFont="1" applyBorder="1" applyAlignment="1">
      <alignment horizontal="right"/>
    </xf>
    <xf numFmtId="9" fontId="13" fillId="0" borderId="0" xfId="0" applyNumberFormat="1" applyFont="1"/>
    <xf numFmtId="0" fontId="13" fillId="0" borderId="0" xfId="0" applyFont="1" applyAlignment="1">
      <alignment horizontal="right"/>
    </xf>
    <xf numFmtId="3" fontId="13" fillId="0" borderId="2" xfId="0" applyNumberFormat="1" applyFont="1" applyBorder="1" applyAlignment="1">
      <alignment horizontal="right" wrapText="1"/>
    </xf>
    <xf numFmtId="0" fontId="13" fillId="0" borderId="2" xfId="0" applyFont="1" applyBorder="1" applyAlignment="1">
      <alignment horizontal="right" wrapText="1"/>
    </xf>
    <xf numFmtId="3" fontId="13" fillId="0" borderId="0" xfId="0" applyNumberFormat="1" applyFont="1"/>
    <xf numFmtId="0" fontId="22" fillId="0" borderId="0" xfId="0" applyFont="1" applyAlignment="1">
      <alignment horizontal="center"/>
    </xf>
    <xf numFmtId="0" fontId="23" fillId="0" borderId="0" xfId="0" applyFont="1" applyAlignment="1">
      <alignment horizontal="center" wrapText="1"/>
    </xf>
    <xf numFmtId="0" fontId="22" fillId="0" borderId="0" xfId="0" applyFont="1" applyAlignment="1">
      <alignment horizontal="center" wrapText="1"/>
    </xf>
    <xf numFmtId="1" fontId="22" fillId="0" borderId="0" xfId="0" applyNumberFormat="1" applyFont="1" applyAlignment="1">
      <alignment horizontal="center" wrapText="1"/>
    </xf>
    <xf numFmtId="0" fontId="22" fillId="0" borderId="2" xfId="0" applyFont="1" applyBorder="1" applyAlignment="1">
      <alignment horizontal="left" wrapText="1"/>
    </xf>
    <xf numFmtId="0" fontId="24" fillId="0" borderId="2" xfId="0" applyFont="1" applyBorder="1" applyAlignment="1">
      <alignment horizontal="left" wrapText="1"/>
    </xf>
    <xf numFmtId="0" fontId="23" fillId="0" borderId="2" xfId="0" applyFont="1" applyBorder="1" applyAlignment="1">
      <alignment horizontal="left" wrapText="1"/>
    </xf>
    <xf numFmtId="0" fontId="22"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horizontal="right" wrapText="1"/>
    </xf>
    <xf numFmtId="1" fontId="12" fillId="0" borderId="0" xfId="0" applyNumberFormat="1" applyFont="1" applyAlignment="1">
      <alignment horizontal="center" wrapText="1"/>
    </xf>
    <xf numFmtId="0" fontId="13" fillId="0" borderId="0" xfId="0" applyFont="1" applyAlignment="1">
      <alignment horizont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2" xfId="0" applyFont="1" applyBorder="1" applyAlignment="1">
      <alignment horizontal="right"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3" fillId="10" borderId="24" xfId="0" applyFont="1" applyFill="1" applyBorder="1" applyAlignment="1">
      <alignment vertical="center" wrapText="1"/>
    </xf>
    <xf numFmtId="0" fontId="13" fillId="10" borderId="25" xfId="0" applyFont="1" applyFill="1" applyBorder="1" applyAlignment="1">
      <alignment vertical="center" wrapText="1"/>
    </xf>
    <xf numFmtId="3" fontId="13" fillId="10" borderId="25" xfId="0" applyNumberFormat="1" applyFont="1" applyFill="1" applyBorder="1" applyAlignment="1">
      <alignment horizontal="right" vertical="center" wrapText="1"/>
    </xf>
    <xf numFmtId="3" fontId="13" fillId="10" borderId="25" xfId="0" applyNumberFormat="1" applyFont="1" applyFill="1" applyBorder="1" applyAlignment="1">
      <alignment vertical="center" wrapText="1"/>
    </xf>
    <xf numFmtId="166" fontId="13" fillId="10" borderId="25" xfId="0" applyNumberFormat="1" applyFont="1" applyFill="1" applyBorder="1" applyAlignment="1">
      <alignment vertical="center" wrapText="1"/>
    </xf>
    <xf numFmtId="0" fontId="13" fillId="10" borderId="26" xfId="0" applyFont="1" applyFill="1" applyBorder="1" applyAlignment="1">
      <alignment vertical="center" wrapText="1"/>
    </xf>
    <xf numFmtId="0" fontId="13" fillId="11" borderId="27" xfId="0" applyFont="1" applyFill="1" applyBorder="1" applyAlignment="1">
      <alignment vertical="center" wrapText="1"/>
    </xf>
    <xf numFmtId="0" fontId="13" fillId="11" borderId="28" xfId="0" applyFont="1" applyFill="1" applyBorder="1" applyAlignment="1">
      <alignment vertical="center" wrapText="1"/>
    </xf>
    <xf numFmtId="0" fontId="13" fillId="10" borderId="28" xfId="0" applyFont="1" applyFill="1" applyBorder="1" applyAlignment="1">
      <alignment vertical="center" wrapText="1"/>
    </xf>
    <xf numFmtId="3" fontId="13" fillId="11" borderId="28" xfId="0" applyNumberFormat="1" applyFont="1" applyFill="1" applyBorder="1" applyAlignment="1">
      <alignment horizontal="right" vertical="center" wrapText="1"/>
    </xf>
    <xf numFmtId="3" fontId="13" fillId="11" borderId="28" xfId="0" applyNumberFormat="1" applyFont="1" applyFill="1" applyBorder="1" applyAlignment="1">
      <alignment vertical="center" wrapText="1"/>
    </xf>
    <xf numFmtId="166" fontId="13" fillId="11" borderId="28" xfId="0" applyNumberFormat="1" applyFont="1" applyFill="1" applyBorder="1" applyAlignment="1">
      <alignment vertical="center" wrapText="1"/>
    </xf>
    <xf numFmtId="3" fontId="13" fillId="10" borderId="28" xfId="0" applyNumberFormat="1" applyFont="1" applyFill="1" applyBorder="1" applyAlignment="1">
      <alignment vertical="center" wrapText="1"/>
    </xf>
    <xf numFmtId="0" fontId="13" fillId="11" borderId="29" xfId="0" applyFont="1" applyFill="1" applyBorder="1" applyAlignment="1">
      <alignment vertical="center" wrapText="1"/>
    </xf>
    <xf numFmtId="0" fontId="13" fillId="10" borderId="25" xfId="0" applyFont="1" applyFill="1" applyBorder="1" applyAlignment="1">
      <alignment horizontal="right" vertical="center" wrapText="1"/>
    </xf>
    <xf numFmtId="0" fontId="13" fillId="11" borderId="28" xfId="0" applyFont="1" applyFill="1" applyBorder="1" applyAlignment="1">
      <alignment horizontal="right" vertical="center" wrapText="1"/>
    </xf>
    <xf numFmtId="0" fontId="13" fillId="10" borderId="30" xfId="0" applyFont="1" applyFill="1" applyBorder="1" applyAlignment="1">
      <alignment vertical="center" wrapText="1"/>
    </xf>
    <xf numFmtId="0" fontId="13" fillId="10" borderId="31" xfId="0" applyFont="1" applyFill="1" applyBorder="1" applyAlignment="1">
      <alignment vertical="center" wrapText="1"/>
    </xf>
    <xf numFmtId="0" fontId="13" fillId="10" borderId="31" xfId="0" applyFont="1" applyFill="1" applyBorder="1" applyAlignment="1">
      <alignment horizontal="right" vertical="center" wrapText="1"/>
    </xf>
    <xf numFmtId="3" fontId="13" fillId="10" borderId="31" xfId="0" applyNumberFormat="1" applyFont="1" applyFill="1" applyBorder="1" applyAlignment="1">
      <alignment vertical="center" wrapText="1"/>
    </xf>
    <xf numFmtId="166" fontId="13" fillId="10" borderId="31" xfId="0" applyNumberFormat="1" applyFont="1" applyFill="1" applyBorder="1" applyAlignment="1">
      <alignment vertical="center" wrapText="1"/>
    </xf>
    <xf numFmtId="0" fontId="13" fillId="10" borderId="32" xfId="0" applyFont="1" applyFill="1" applyBorder="1" applyAlignment="1">
      <alignment vertical="center" wrapText="1"/>
    </xf>
    <xf numFmtId="0" fontId="25" fillId="12" borderId="33" xfId="0" applyFont="1" applyFill="1" applyBorder="1" applyAlignment="1">
      <alignment horizontal="left"/>
    </xf>
    <xf numFmtId="0" fontId="26" fillId="0" borderId="2" xfId="0" applyFont="1" applyBorder="1" applyAlignment="1">
      <alignment horizontal="right" vertical="top"/>
    </xf>
    <xf numFmtId="3" fontId="26" fillId="0" borderId="2" xfId="0" applyNumberFormat="1" applyFont="1" applyBorder="1" applyAlignment="1">
      <alignment horizontal="right" vertical="top"/>
    </xf>
    <xf numFmtId="0" fontId="3" fillId="5" borderId="2" xfId="0" applyFont="1" applyFill="1" applyBorder="1"/>
    <xf numFmtId="3" fontId="26" fillId="5" borderId="2" xfId="0" applyNumberFormat="1" applyFont="1" applyFill="1" applyBorder="1" applyAlignment="1">
      <alignment horizontal="right" vertical="top"/>
    </xf>
    <xf numFmtId="0" fontId="26" fillId="5" borderId="2" xfId="0" applyFont="1" applyFill="1" applyBorder="1" applyAlignment="1">
      <alignment horizontal="right" vertical="top"/>
    </xf>
    <xf numFmtId="3" fontId="3" fillId="5" borderId="2" xfId="0" applyNumberFormat="1" applyFont="1" applyFill="1" applyBorder="1"/>
    <xf numFmtId="0" fontId="25" fillId="12" borderId="34" xfId="0" applyFont="1" applyFill="1" applyBorder="1" applyAlignment="1">
      <alignment horizontal="center"/>
    </xf>
    <xf numFmtId="0" fontId="27" fillId="0" borderId="35" xfId="0" applyFont="1" applyBorder="1" applyAlignment="1">
      <alignment vertical="top"/>
    </xf>
    <xf numFmtId="0" fontId="27" fillId="5" borderId="36" xfId="0" applyFont="1" applyFill="1" applyBorder="1" applyAlignment="1">
      <alignment vertical="top"/>
    </xf>
    <xf numFmtId="0" fontId="27" fillId="0" borderId="5" xfId="0" applyFont="1" applyBorder="1" applyAlignment="1">
      <alignment vertical="top"/>
    </xf>
    <xf numFmtId="171" fontId="3" fillId="0" borderId="2" xfId="0" applyNumberFormat="1" applyFont="1" applyBorder="1"/>
    <xf numFmtId="165" fontId="3" fillId="5" borderId="2" xfId="0" applyNumberFormat="1" applyFont="1" applyFill="1" applyBorder="1"/>
    <xf numFmtId="0" fontId="28" fillId="0" borderId="2" xfId="0" applyFont="1" applyBorder="1"/>
    <xf numFmtId="0" fontId="39" fillId="0" borderId="37" xfId="0" applyFont="1" applyBorder="1" applyAlignment="1"/>
    <xf numFmtId="0" fontId="0" fillId="15" borderId="37" xfId="0" applyFont="1" applyFill="1" applyBorder="1" applyAlignment="1"/>
    <xf numFmtId="0" fontId="37" fillId="14" borderId="37" xfId="0" applyFont="1" applyFill="1" applyBorder="1" applyAlignment="1">
      <alignment vertical="center"/>
    </xf>
    <xf numFmtId="0" fontId="38" fillId="18" borderId="37" xfId="0" applyFont="1" applyFill="1" applyBorder="1" applyAlignment="1">
      <alignment vertical="center" wrapText="1"/>
    </xf>
    <xf numFmtId="0" fontId="40" fillId="5" borderId="2" xfId="0" applyFont="1" applyFill="1" applyBorder="1" applyAlignment="1">
      <alignment wrapText="1"/>
    </xf>
    <xf numFmtId="0" fontId="4" fillId="0" borderId="5" xfId="0" applyFont="1" applyBorder="1" applyAlignment="1">
      <alignment wrapText="1"/>
    </xf>
    <xf numFmtId="0" fontId="3" fillId="0" borderId="20" xfId="0" applyFont="1" applyBorder="1"/>
    <xf numFmtId="0" fontId="4" fillId="0" borderId="37" xfId="0" applyFont="1" applyBorder="1"/>
    <xf numFmtId="0" fontId="41" fillId="0" borderId="0" xfId="0" applyFont="1" applyAlignment="1">
      <alignment wrapText="1"/>
    </xf>
    <xf numFmtId="0" fontId="41" fillId="0" borderId="2" xfId="0" applyFont="1" applyBorder="1" applyAlignment="1">
      <alignment wrapText="1"/>
    </xf>
    <xf numFmtId="0" fontId="41" fillId="0" borderId="3" xfId="0" applyFont="1" applyBorder="1" applyAlignment="1">
      <alignment wrapText="1"/>
    </xf>
    <xf numFmtId="0" fontId="36" fillId="0" borderId="2" xfId="0" applyFont="1" applyBorder="1"/>
    <xf numFmtId="0" fontId="36" fillId="0" borderId="2" xfId="0" applyFont="1" applyBorder="1" applyAlignment="1">
      <alignment wrapText="1"/>
    </xf>
    <xf numFmtId="0" fontId="40" fillId="5" borderId="2" xfId="0" applyFont="1" applyFill="1" applyBorder="1"/>
    <xf numFmtId="0" fontId="0" fillId="20" borderId="0" xfId="0" applyFont="1" applyFill="1" applyAlignment="1"/>
    <xf numFmtId="0" fontId="3" fillId="20" borderId="0" xfId="0" applyFont="1" applyFill="1" applyAlignment="1">
      <alignment wrapText="1"/>
    </xf>
    <xf numFmtId="0" fontId="3" fillId="20" borderId="0" xfId="0" applyFont="1" applyFill="1"/>
    <xf numFmtId="0" fontId="4" fillId="20" borderId="0" xfId="0" applyFont="1" applyFill="1" applyAlignment="1">
      <alignment wrapText="1"/>
    </xf>
    <xf numFmtId="0" fontId="5" fillId="24" borderId="2" xfId="0" applyFont="1" applyFill="1" applyBorder="1"/>
    <xf numFmtId="3" fontId="3" fillId="24" borderId="2" xfId="0" applyNumberFormat="1" applyFont="1" applyFill="1" applyBorder="1"/>
    <xf numFmtId="0" fontId="3" fillId="24" borderId="2" xfId="0" applyFont="1" applyFill="1" applyBorder="1"/>
    <xf numFmtId="0" fontId="40" fillId="24" borderId="2" xfId="0" applyFont="1" applyFill="1" applyBorder="1"/>
    <xf numFmtId="0" fontId="36" fillId="24" borderId="2" xfId="0" applyFont="1" applyFill="1" applyBorder="1"/>
    <xf numFmtId="0" fontId="40" fillId="0" borderId="2" xfId="0" applyFont="1" applyBorder="1"/>
    <xf numFmtId="0" fontId="44" fillId="0" borderId="0" xfId="0" applyFont="1" applyAlignment="1"/>
    <xf numFmtId="0" fontId="36" fillId="24" borderId="2" xfId="0" applyFont="1" applyFill="1" applyBorder="1" applyAlignment="1">
      <alignment wrapText="1"/>
    </xf>
    <xf numFmtId="0" fontId="42" fillId="3" borderId="2" xfId="0" applyFont="1" applyFill="1" applyBorder="1"/>
    <xf numFmtId="0" fontId="4" fillId="0" borderId="1" xfId="0" applyFont="1" applyBorder="1"/>
    <xf numFmtId="164" fontId="3" fillId="0" borderId="1" xfId="0" applyNumberFormat="1" applyFont="1" applyBorder="1"/>
    <xf numFmtId="0" fontId="3" fillId="0" borderId="1" xfId="0" applyFont="1" applyBorder="1"/>
    <xf numFmtId="0" fontId="4" fillId="0" borderId="1" xfId="0" applyFont="1" applyBorder="1" applyAlignment="1">
      <alignment wrapText="1"/>
    </xf>
    <xf numFmtId="0" fontId="41" fillId="0" borderId="1" xfId="0" applyFont="1" applyBorder="1" applyAlignment="1">
      <alignment wrapText="1"/>
    </xf>
    <xf numFmtId="3" fontId="3" fillId="16" borderId="2" xfId="0" applyNumberFormat="1" applyFont="1" applyFill="1" applyBorder="1" applyProtection="1">
      <protection locked="0"/>
    </xf>
    <xf numFmtId="9" fontId="3" fillId="17" borderId="2" xfId="0" applyNumberFormat="1" applyFont="1" applyFill="1" applyBorder="1" applyProtection="1">
      <protection locked="0"/>
    </xf>
    <xf numFmtId="9" fontId="4" fillId="17" borderId="2" xfId="0" applyNumberFormat="1" applyFont="1" applyFill="1" applyBorder="1" applyProtection="1">
      <protection locked="0"/>
    </xf>
    <xf numFmtId="3" fontId="3" fillId="22" borderId="2" xfId="0" applyNumberFormat="1" applyFont="1" applyFill="1" applyBorder="1" applyProtection="1">
      <protection locked="0"/>
    </xf>
    <xf numFmtId="9" fontId="3" fillId="21" borderId="2" xfId="0" applyNumberFormat="1" applyFont="1" applyFill="1" applyBorder="1" applyProtection="1">
      <protection locked="0"/>
    </xf>
    <xf numFmtId="9" fontId="4" fillId="21" borderId="2" xfId="0" applyNumberFormat="1" applyFont="1" applyFill="1" applyBorder="1" applyProtection="1">
      <protection locked="0"/>
    </xf>
    <xf numFmtId="9" fontId="4" fillId="0" borderId="1" xfId="0" applyNumberFormat="1" applyFont="1" applyFill="1" applyBorder="1"/>
    <xf numFmtId="3" fontId="3" fillId="15" borderId="2" xfId="0" applyNumberFormat="1" applyFont="1" applyFill="1" applyBorder="1" applyProtection="1">
      <protection locked="0"/>
    </xf>
    <xf numFmtId="3" fontId="4" fillId="15" borderId="2" xfId="0" applyNumberFormat="1" applyFont="1" applyFill="1" applyBorder="1" applyProtection="1">
      <protection locked="0"/>
    </xf>
    <xf numFmtId="9" fontId="3" fillId="22" borderId="2" xfId="0" applyNumberFormat="1" applyFont="1" applyFill="1" applyBorder="1" applyProtection="1">
      <protection locked="0"/>
    </xf>
    <xf numFmtId="0" fontId="45" fillId="3" borderId="2" xfId="0" applyFont="1" applyFill="1" applyBorder="1"/>
    <xf numFmtId="171" fontId="3" fillId="0" borderId="2" xfId="0" applyNumberFormat="1" applyFont="1" applyBorder="1" applyAlignment="1">
      <alignment wrapText="1"/>
    </xf>
    <xf numFmtId="171" fontId="4" fillId="0" borderId="2" xfId="0" applyNumberFormat="1" applyFont="1" applyBorder="1" applyAlignment="1">
      <alignment wrapText="1"/>
    </xf>
    <xf numFmtId="0" fontId="46" fillId="20" borderId="0" xfId="0" applyFont="1" applyFill="1"/>
    <xf numFmtId="0" fontId="48" fillId="20" borderId="1" xfId="1" applyFont="1" applyFill="1" applyBorder="1"/>
    <xf numFmtId="0" fontId="49" fillId="20" borderId="0" xfId="0" applyFont="1" applyFill="1"/>
    <xf numFmtId="0" fontId="40" fillId="24" borderId="2" xfId="0" applyFont="1" applyFill="1" applyBorder="1" applyAlignment="1">
      <alignment horizontal="left"/>
    </xf>
    <xf numFmtId="43" fontId="3" fillId="15" borderId="2" xfId="2" applyFont="1" applyFill="1" applyBorder="1" applyProtection="1">
      <protection locked="0"/>
    </xf>
    <xf numFmtId="0" fontId="40" fillId="19" borderId="3" xfId="0" applyFont="1" applyFill="1" applyBorder="1"/>
    <xf numFmtId="0" fontId="6" fillId="20" borderId="4" xfId="0" applyFont="1" applyFill="1" applyBorder="1"/>
    <xf numFmtId="0" fontId="6" fillId="20" borderId="5" xfId="0" applyFont="1" applyFill="1" applyBorder="1"/>
    <xf numFmtId="0" fontId="5" fillId="19" borderId="3" xfId="0" applyFont="1" applyFill="1" applyBorder="1"/>
    <xf numFmtId="0" fontId="43" fillId="23" borderId="3" xfId="0" applyFont="1" applyFill="1" applyBorder="1" applyAlignment="1">
      <alignment horizontal="left"/>
    </xf>
    <xf numFmtId="0" fontId="43" fillId="23" borderId="4" xfId="0" applyFont="1" applyFill="1" applyBorder="1" applyAlignment="1">
      <alignment horizontal="left"/>
    </xf>
    <xf numFmtId="0" fontId="43" fillId="23" borderId="5" xfId="0" applyFont="1" applyFill="1" applyBorder="1" applyAlignment="1">
      <alignment horizontal="left"/>
    </xf>
    <xf numFmtId="0" fontId="10" fillId="7" borderId="11" xfId="0" applyFont="1" applyFill="1" applyBorder="1"/>
    <xf numFmtId="0" fontId="6" fillId="0" borderId="12" xfId="0" applyFont="1" applyBorder="1"/>
    <xf numFmtId="0" fontId="6" fillId="0" borderId="13" xfId="0" applyFont="1" applyBorder="1"/>
    <xf numFmtId="0" fontId="13" fillId="0" borderId="20" xfId="0" applyFont="1" applyBorder="1" applyAlignment="1">
      <alignment wrapText="1"/>
    </xf>
    <xf numFmtId="0" fontId="6" fillId="0" borderId="7" xfId="0" applyFont="1" applyBorder="1"/>
    <xf numFmtId="0" fontId="3" fillId="7" borderId="3" xfId="0" applyFont="1" applyFill="1" applyBorder="1"/>
    <xf numFmtId="0" fontId="6" fillId="0" borderId="4" xfId="0" applyFont="1" applyBorder="1"/>
    <xf numFmtId="0" fontId="6" fillId="0" borderId="5" xfId="0" applyFont="1" applyBorder="1"/>
    <xf numFmtId="0" fontId="3" fillId="13" borderId="3" xfId="0" applyFont="1" applyFill="1" applyBorder="1"/>
  </cellXfs>
  <cellStyles count="3">
    <cellStyle name="Comma" xfId="2" builtinId="3"/>
    <cellStyle name="Hyperlink" xfId="1" builtinId="8"/>
    <cellStyle name="Normal"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Methodology - Scaling PEACH Hos-style" pivot="0" count="3" xr9:uid="{00000000-0011-0000-FFFF-FFFF00000000}">
      <tableStyleElement type="headerRow" dxfId="2"/>
      <tableStyleElement type="firstRowStripe" dxfId="1"/>
      <tableStyleElement type="secondRowStripe" dxfId="0"/>
    </tableStyle>
  </tableStyles>
  <colors>
    <mruColors>
      <color rgb="FFC6EDB5"/>
      <color rgb="FF3876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Estimated GHG Baseline and</a:t>
            </a:r>
            <a:r>
              <a:rPr lang="en-CA" baseline="0"/>
              <a:t> Reduction Potential by Glove Type</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Calculations!$D$22</c:f>
              <c:strCache>
                <c:ptCount val="1"/>
                <c:pt idx="0">
                  <c:v>Estimated GHG Baseline (tCO2e/year)</c:v>
                </c:pt>
              </c:strCache>
            </c:strRef>
          </c:tx>
          <c:spPr>
            <a:solidFill>
              <a:schemeClr val="accent2"/>
            </a:solidFill>
            <a:ln>
              <a:noFill/>
            </a:ln>
            <a:effectLst/>
          </c:spPr>
          <c:invertIfNegative val="0"/>
          <c:cat>
            <c:strRef>
              <c:f>Calculations!$A$23:$A$27</c:f>
              <c:strCache>
                <c:ptCount val="5"/>
                <c:pt idx="0">
                  <c:v>Vinyl</c:v>
                </c:pt>
                <c:pt idx="1">
                  <c:v>Nitrile, non-sterile</c:v>
                </c:pt>
                <c:pt idx="2">
                  <c:v>Nitrile, sterile</c:v>
                </c:pt>
                <c:pt idx="3">
                  <c:v>Latex, non-sterile</c:v>
                </c:pt>
                <c:pt idx="4">
                  <c:v>Latex, sterile</c:v>
                </c:pt>
              </c:strCache>
            </c:strRef>
          </c:cat>
          <c:val>
            <c:numRef>
              <c:f>Calculations!$D$23:$D$27</c:f>
              <c:numCache>
                <c:formatCode>#,##0.0</c:formatCode>
                <c:ptCount val="5"/>
                <c:pt idx="0">
                  <c:v>0.74550000000000005</c:v>
                </c:pt>
                <c:pt idx="1">
                  <c:v>1.6376000000000002</c:v>
                </c:pt>
                <c:pt idx="2">
                  <c:v>2.31</c:v>
                </c:pt>
                <c:pt idx="3">
                  <c:v>0.72313333333333341</c:v>
                </c:pt>
                <c:pt idx="4">
                  <c:v>1.9724999999999999</c:v>
                </c:pt>
              </c:numCache>
            </c:numRef>
          </c:val>
          <c:extLst>
            <c:ext xmlns:c16="http://schemas.microsoft.com/office/drawing/2014/chart" uri="{C3380CC4-5D6E-409C-BE32-E72D297353CC}">
              <c16:uniqueId val="{00000000-8BD0-466E-BFAD-5713F15D76F3}"/>
            </c:ext>
          </c:extLst>
        </c:ser>
        <c:ser>
          <c:idx val="1"/>
          <c:order val="1"/>
          <c:tx>
            <c:strRef>
              <c:f>Calculations!$E$22</c:f>
              <c:strCache>
                <c:ptCount val="1"/>
                <c:pt idx="0">
                  <c:v>Estimated GHG Savings based on Reduction Target (tCO2e/year))</c:v>
                </c:pt>
              </c:strCache>
            </c:strRef>
          </c:tx>
          <c:spPr>
            <a:solidFill>
              <a:schemeClr val="accent1"/>
            </a:solidFill>
            <a:ln>
              <a:noFill/>
            </a:ln>
            <a:effectLst/>
          </c:spPr>
          <c:invertIfNegative val="0"/>
          <c:cat>
            <c:strRef>
              <c:f>Calculations!$A$23:$A$27</c:f>
              <c:strCache>
                <c:ptCount val="5"/>
                <c:pt idx="0">
                  <c:v>Vinyl</c:v>
                </c:pt>
                <c:pt idx="1">
                  <c:v>Nitrile, non-sterile</c:v>
                </c:pt>
                <c:pt idx="2">
                  <c:v>Nitrile, sterile</c:v>
                </c:pt>
                <c:pt idx="3">
                  <c:v>Latex, non-sterile</c:v>
                </c:pt>
                <c:pt idx="4">
                  <c:v>Latex, sterile</c:v>
                </c:pt>
              </c:strCache>
            </c:strRef>
          </c:cat>
          <c:val>
            <c:numRef>
              <c:f>Calculations!$E$23:$E$27</c:f>
              <c:numCache>
                <c:formatCode>#,##0.0</c:formatCode>
                <c:ptCount val="5"/>
                <c:pt idx="0">
                  <c:v>0.22365000000000002</c:v>
                </c:pt>
                <c:pt idx="1">
                  <c:v>0.49128000000000005</c:v>
                </c:pt>
                <c:pt idx="2">
                  <c:v>0.69299999999999995</c:v>
                </c:pt>
                <c:pt idx="3">
                  <c:v>0.21694000000000002</c:v>
                </c:pt>
                <c:pt idx="4">
                  <c:v>0.59175</c:v>
                </c:pt>
              </c:numCache>
            </c:numRef>
          </c:val>
          <c:extLst>
            <c:ext xmlns:c16="http://schemas.microsoft.com/office/drawing/2014/chart" uri="{C3380CC4-5D6E-409C-BE32-E72D297353CC}">
              <c16:uniqueId val="{00000001-8BD0-466E-BFAD-5713F15D76F3}"/>
            </c:ext>
          </c:extLst>
        </c:ser>
        <c:dLbls>
          <c:showLegendKey val="0"/>
          <c:showVal val="0"/>
          <c:showCatName val="0"/>
          <c:showSerName val="0"/>
          <c:showPercent val="0"/>
          <c:showBubbleSize val="0"/>
        </c:dLbls>
        <c:gapWidth val="182"/>
        <c:axId val="1676457312"/>
        <c:axId val="1676453984"/>
      </c:barChart>
      <c:catAx>
        <c:axId val="1676457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6453984"/>
        <c:crosses val="autoZero"/>
        <c:auto val="1"/>
        <c:lblAlgn val="ctr"/>
        <c:lblOffset val="100"/>
        <c:noMultiLvlLbl val="0"/>
      </c:catAx>
      <c:valAx>
        <c:axId val="16764539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Life</a:t>
                </a:r>
                <a:r>
                  <a:rPr lang="en-CA" baseline="0"/>
                  <a:t> cycle carbon emissions</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6457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Breakdown of </a:t>
            </a:r>
            <a:r>
              <a:rPr lang="en-US" baseline="0"/>
              <a:t>Life Cycle Emissions Baseline by Glove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Calculations!$D$22</c:f>
              <c:strCache>
                <c:ptCount val="1"/>
                <c:pt idx="0">
                  <c:v>Estimated GHG Baseline (tCO2e/year)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A18-461B-8927-15CD173679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A18-461B-8927-15CD173679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A18-461B-8927-15CD1736797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A18-461B-8927-15CD1736797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A18-461B-8927-15CD1736797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Calculations!$A$23:$A$27</c:f>
              <c:strCache>
                <c:ptCount val="5"/>
                <c:pt idx="0">
                  <c:v>Vinyl</c:v>
                </c:pt>
                <c:pt idx="1">
                  <c:v>Nitrile, non-sterile</c:v>
                </c:pt>
                <c:pt idx="2">
                  <c:v>Nitrile, sterile</c:v>
                </c:pt>
                <c:pt idx="3">
                  <c:v>Latex, non-sterile</c:v>
                </c:pt>
                <c:pt idx="4">
                  <c:v>Latex, sterile</c:v>
                </c:pt>
              </c:strCache>
            </c:strRef>
          </c:cat>
          <c:val>
            <c:numRef>
              <c:f>Calculations!$D$23:$D$27</c:f>
              <c:numCache>
                <c:formatCode>#,##0.0</c:formatCode>
                <c:ptCount val="5"/>
                <c:pt idx="0">
                  <c:v>0.74550000000000005</c:v>
                </c:pt>
                <c:pt idx="1">
                  <c:v>1.6376000000000002</c:v>
                </c:pt>
                <c:pt idx="2">
                  <c:v>2.31</c:v>
                </c:pt>
                <c:pt idx="3">
                  <c:v>0.72313333333333341</c:v>
                </c:pt>
                <c:pt idx="4">
                  <c:v>1.9724999999999999</c:v>
                </c:pt>
              </c:numCache>
            </c:numRef>
          </c:val>
          <c:extLst>
            <c:ext xmlns:c16="http://schemas.microsoft.com/office/drawing/2014/chart" uri="{C3380CC4-5D6E-409C-BE32-E72D297353CC}">
              <c16:uniqueId val="{00000000-7168-417C-A1F9-989CA7A9F6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1</xdr:row>
      <xdr:rowOff>90666</xdr:rowOff>
    </xdr:from>
    <xdr:to>
      <xdr:col>11</xdr:col>
      <xdr:colOff>496044</xdr:colOff>
      <xdr:row>6</xdr:row>
      <xdr:rowOff>185916</xdr:rowOff>
    </xdr:to>
    <xdr:pic>
      <xdr:nvPicPr>
        <xdr:cNvPr id="2" name="Picture 1">
          <a:extLst>
            <a:ext uri="{FF2B5EF4-FFF2-40B4-BE49-F238E27FC236}">
              <a16:creationId xmlns:a16="http://schemas.microsoft.com/office/drawing/2014/main" id="{0BE383A6-6377-4D69-90E6-51E4D03E87F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781550" y="252591"/>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7</xdr:col>
      <xdr:colOff>418447</xdr:colOff>
      <xdr:row>6</xdr:row>
      <xdr:rowOff>276582</xdr:rowOff>
    </xdr:to>
    <xdr:pic>
      <xdr:nvPicPr>
        <xdr:cNvPr id="3" name="Picture 2">
          <a:extLst>
            <a:ext uri="{FF2B5EF4-FFF2-40B4-BE49-F238E27FC236}">
              <a16:creationId xmlns:a16="http://schemas.microsoft.com/office/drawing/2014/main" id="{0402450B-B7B2-434D-A842-5DBE5F98B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61925"/>
          <a:ext cx="4076047" cy="1086207"/>
        </a:xfrm>
        <a:prstGeom prst="rect">
          <a:avLst/>
        </a:prstGeom>
      </xdr:spPr>
    </xdr:pic>
    <xdr:clientData/>
  </xdr:twoCellAnchor>
  <xdr:twoCellAnchor>
    <xdr:from>
      <xdr:col>0</xdr:col>
      <xdr:colOff>142876</xdr:colOff>
      <xdr:row>8</xdr:row>
      <xdr:rowOff>1</xdr:rowOff>
    </xdr:from>
    <xdr:to>
      <xdr:col>14</xdr:col>
      <xdr:colOff>304800</xdr:colOff>
      <xdr:row>9</xdr:row>
      <xdr:rowOff>47625</xdr:rowOff>
    </xdr:to>
    <xdr:sp macro="" textlink="">
      <xdr:nvSpPr>
        <xdr:cNvPr id="4" name="TextBox 3">
          <a:extLst>
            <a:ext uri="{FF2B5EF4-FFF2-40B4-BE49-F238E27FC236}">
              <a16:creationId xmlns:a16="http://schemas.microsoft.com/office/drawing/2014/main" id="{B1C2D0A9-7AC7-40DB-AD69-52F9D44C815C}"/>
            </a:ext>
          </a:extLst>
        </xdr:cNvPr>
        <xdr:cNvSpPr txBox="1"/>
      </xdr:nvSpPr>
      <xdr:spPr>
        <a:xfrm>
          <a:off x="142876" y="1533526"/>
          <a:ext cx="8296274" cy="1076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161925</xdr:colOff>
      <xdr:row>12</xdr:row>
      <xdr:rowOff>0</xdr:rowOff>
    </xdr:from>
    <xdr:to>
      <xdr:col>14</xdr:col>
      <xdr:colOff>76202</xdr:colOff>
      <xdr:row>26</xdr:row>
      <xdr:rowOff>85726</xdr:rowOff>
    </xdr:to>
    <xdr:sp macro="" textlink="">
      <xdr:nvSpPr>
        <xdr:cNvPr id="5" name="TextBox 4">
          <a:extLst>
            <a:ext uri="{FF2B5EF4-FFF2-40B4-BE49-F238E27FC236}">
              <a16:creationId xmlns:a16="http://schemas.microsoft.com/office/drawing/2014/main" id="{509F4E2D-2F77-4E6C-8D43-760EDAA0AAFC}"/>
            </a:ext>
          </a:extLst>
        </xdr:cNvPr>
        <xdr:cNvSpPr txBox="1"/>
      </xdr:nvSpPr>
      <xdr:spPr>
        <a:xfrm>
          <a:off x="161925" y="3152775"/>
          <a:ext cx="8048627" cy="235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The</a:t>
          </a:r>
          <a:r>
            <a:rPr lang="en-CA" sz="1200" baseline="0">
              <a:solidFill>
                <a:srgbClr val="595959"/>
              </a:solidFill>
              <a:latin typeface="Roboto" panose="02000000000000000000" pitchFamily="2" charset="0"/>
              <a:ea typeface="Roboto" panose="02000000000000000000" pitchFamily="2" charset="0"/>
            </a:rPr>
            <a:t> carbon impact and cost-benefit calculators </a:t>
          </a:r>
          <a:r>
            <a:rPr lang="en-CA" sz="1200">
              <a:solidFill>
                <a:srgbClr val="595959"/>
              </a:solidFill>
              <a:latin typeface="Roboto" panose="02000000000000000000" pitchFamily="2" charset="0"/>
              <a:ea typeface="Roboto" panose="02000000000000000000" pitchFamily="2" charset="0"/>
            </a:rPr>
            <a:t>are intended to help hospitals estimate the project-level carbon and financial saving potential of certain initiatives relative to the business-as-usual scenario. The</a:t>
          </a:r>
          <a:r>
            <a:rPr lang="en-CA" sz="1200" baseline="0">
              <a:solidFill>
                <a:srgbClr val="595959"/>
              </a:solidFill>
              <a:latin typeface="Roboto" panose="02000000000000000000" pitchFamily="2" charset="0"/>
              <a:ea typeface="Roboto" panose="02000000000000000000" pitchFamily="2" charset="0"/>
            </a:rPr>
            <a:t> results could be used to inform </a:t>
          </a:r>
          <a:r>
            <a:rPr lang="en-CA" sz="1200" baseline="0">
              <a:solidFill>
                <a:srgbClr val="595959"/>
              </a:solidFill>
              <a:latin typeface="Roboto" panose="02000000000000000000" pitchFamily="2" charset="0"/>
              <a:ea typeface="Roboto" panose="02000000000000000000" pitchFamily="2" charset="0"/>
              <a:cs typeface="+mn-cs"/>
            </a:rPr>
            <a:t>impact evaluation, business case development, and in some cases compare alternative scenarios.</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Where feasible, these calculators take a life cycle approach and aim to capture whole life cycle emissions impacts. Some calculators are more detailed and customizable, while others provide higher-level estimates based on established models and public sources. The calculation boundary, methodology, assumptions, references, and key data sources are stated within each tool.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These calculators are intended for project-level estimation only and should not be used for organizational emissions accounting or cited as ISO-compliant life cycle assessments. Please contact us if you encounter any issues with these resources.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238124</xdr:colOff>
      <xdr:row>38</xdr:row>
      <xdr:rowOff>95250</xdr:rowOff>
    </xdr:from>
    <xdr:ext cx="4324351" cy="30480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8648699" y="8210550"/>
          <a:ext cx="4324351" cy="3048000"/>
        </a:xfrm>
        <a:prstGeom prst="rect">
          <a:avLst/>
        </a:prstGeom>
        <a:solidFill>
          <a:sysClr val="window" lastClr="FFFFFF"/>
        </a:solidFill>
        <a:ln>
          <a:noFill/>
        </a:ln>
      </xdr:spPr>
      <xdr:txBody>
        <a:bodyPr spcFirstLastPara="1" wrap="square" lIns="91425" tIns="91425" rIns="91425" bIns="91425" anchor="t" anchorCtr="0">
          <a:noAutofit/>
        </a:bodyPr>
        <a:lstStyle/>
        <a:p>
          <a:pPr marL="0" lvl="0" indent="0" algn="l" rtl="0">
            <a:spcBef>
              <a:spcPts val="0"/>
            </a:spcBef>
            <a:spcAft>
              <a:spcPts val="0"/>
            </a:spcAft>
            <a:buClr>
              <a:srgbClr val="242424"/>
            </a:buClr>
            <a:buSzPts val="1350"/>
            <a:buFont typeface="Arial"/>
            <a:buNone/>
          </a:pPr>
          <a:r>
            <a:rPr lang="en-US" sz="1200" b="1">
              <a:solidFill>
                <a:srgbClr val="242424"/>
              </a:solidFill>
            </a:rPr>
            <a:t>The Glove Smart Quality Improvement Project at the Cardiac Surgery Intensive Care Unit (CSICU) in St. Paul’s Hospital in Vancouver</a:t>
          </a:r>
          <a:endParaRPr sz="1200" b="1">
            <a:solidFill>
              <a:srgbClr val="242424"/>
            </a:solidFill>
          </a:endParaRPr>
        </a:p>
        <a:p>
          <a:pPr marL="0" lvl="0" indent="0" algn="l" rtl="0">
            <a:spcBef>
              <a:spcPts val="0"/>
            </a:spcBef>
            <a:spcAft>
              <a:spcPts val="0"/>
            </a:spcAft>
            <a:buClr>
              <a:srgbClr val="242424"/>
            </a:buClr>
            <a:buSzPts val="1350"/>
            <a:buFont typeface="Arial"/>
            <a:buNone/>
          </a:pPr>
          <a:r>
            <a:rPr lang="en-US" sz="1200">
              <a:solidFill>
                <a:srgbClr val="242424"/>
              </a:solidFill>
            </a:rPr>
            <a:t>The six-month initiative, which took place from July to December 2023, was aimed at </a:t>
          </a:r>
          <a:r>
            <a:rPr lang="en-US" sz="1200" b="1">
              <a:solidFill>
                <a:srgbClr val="242424"/>
              </a:solidFill>
            </a:rPr>
            <a:t>reducing non-surgical glove use</a:t>
          </a:r>
          <a:r>
            <a:rPr lang="en-US" sz="1200">
              <a:solidFill>
                <a:srgbClr val="242424"/>
              </a:solidFill>
            </a:rPr>
            <a:t> and the hospital’s waste intensity without compromising the quality of patient care. The approach was to educate staff about the appropriate use of non-surgical gloves through instructional posters in the unit and peer-to-peer real-time feedback. The project proved to be a resounding success, with a remarkable </a:t>
          </a:r>
          <a:r>
            <a:rPr lang="en-US" sz="1200" b="1">
              <a:solidFill>
                <a:srgbClr val="242424"/>
              </a:solidFill>
            </a:rPr>
            <a:t>53% reduction</a:t>
          </a:r>
          <a:r>
            <a:rPr lang="en-US" sz="1200">
              <a:solidFill>
                <a:srgbClr val="242424"/>
              </a:solidFill>
            </a:rPr>
            <a:t> compared to the previous year.</a:t>
          </a:r>
          <a:endParaRPr sz="1200">
            <a:solidFill>
              <a:srgbClr val="242424"/>
            </a:solidFill>
          </a:endParaRPr>
        </a:p>
        <a:p>
          <a:pPr marL="0" lvl="0" indent="0" algn="l" rtl="0">
            <a:spcBef>
              <a:spcPts val="0"/>
            </a:spcBef>
            <a:spcAft>
              <a:spcPts val="0"/>
            </a:spcAft>
            <a:buSzPts val="1350"/>
            <a:buFont typeface="Arial"/>
            <a:buNone/>
          </a:pPr>
          <a:endParaRPr sz="1200">
            <a:solidFill>
              <a:srgbClr val="242424"/>
            </a:solidFill>
          </a:endParaRPr>
        </a:p>
        <a:p>
          <a:pPr marL="0" lvl="0" indent="0" algn="l" rtl="0">
            <a:spcBef>
              <a:spcPts val="0"/>
            </a:spcBef>
            <a:spcAft>
              <a:spcPts val="0"/>
            </a:spcAft>
            <a:buClr>
              <a:srgbClr val="242424"/>
            </a:buClr>
            <a:buSzPts val="1350"/>
            <a:buFont typeface="Arial"/>
            <a:buNone/>
          </a:pPr>
          <a:r>
            <a:rPr lang="en-US" sz="1200">
              <a:solidFill>
                <a:srgbClr val="242424"/>
              </a:solidFill>
            </a:rPr>
            <a:t>Source: https://bcgreencare.ca/reducing-waste-one-glove-at-a-time/ </a:t>
          </a:r>
          <a:endParaRPr sz="1200">
            <a:solidFill>
              <a:srgbClr val="242424"/>
            </a:solidFill>
          </a:endParaRPr>
        </a:p>
      </xdr:txBody>
    </xdr:sp>
    <xdr:clientData fLocksWithSheet="0"/>
  </xdr:oneCellAnchor>
  <xdr:oneCellAnchor>
    <xdr:from>
      <xdr:col>5</xdr:col>
      <xdr:colOff>314325</xdr:colOff>
      <xdr:row>39</xdr:row>
      <xdr:rowOff>28575</xdr:rowOff>
    </xdr:from>
    <xdr:ext cx="4810125" cy="26670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087350" y="8343900"/>
          <a:ext cx="4810125" cy="2667000"/>
        </a:xfrm>
        <a:prstGeom prst="rect">
          <a:avLst/>
        </a:prstGeom>
        <a:noFill/>
      </xdr:spPr>
    </xdr:pic>
    <xdr:clientData fLocksWithSheet="0"/>
  </xdr:oneCellAnchor>
  <xdr:twoCellAnchor>
    <xdr:from>
      <xdr:col>5</xdr:col>
      <xdr:colOff>85725</xdr:colOff>
      <xdr:row>3</xdr:row>
      <xdr:rowOff>95250</xdr:rowOff>
    </xdr:from>
    <xdr:to>
      <xdr:col>8</xdr:col>
      <xdr:colOff>2114550</xdr:colOff>
      <xdr:row>19</xdr:row>
      <xdr:rowOff>95250</xdr:rowOff>
    </xdr:to>
    <xdr:graphicFrame macro="">
      <xdr:nvGraphicFramePr>
        <xdr:cNvPr id="4" name="Chart 3">
          <a:extLst>
            <a:ext uri="{FF2B5EF4-FFF2-40B4-BE49-F238E27FC236}">
              <a16:creationId xmlns:a16="http://schemas.microsoft.com/office/drawing/2014/main" id="{02A35A4A-CE4F-48B3-9A2B-82CCD51F9E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152400</xdr:colOff>
      <xdr:row>3</xdr:row>
      <xdr:rowOff>95250</xdr:rowOff>
    </xdr:from>
    <xdr:to>
      <xdr:col>4</xdr:col>
      <xdr:colOff>2105025</xdr:colOff>
      <xdr:row>19</xdr:row>
      <xdr:rowOff>95250</xdr:rowOff>
    </xdr:to>
    <xdr:graphicFrame macro="">
      <xdr:nvGraphicFramePr>
        <xdr:cNvPr id="5" name="Chart 4">
          <a:extLst>
            <a:ext uri="{FF2B5EF4-FFF2-40B4-BE49-F238E27FC236}">
              <a16:creationId xmlns:a16="http://schemas.microsoft.com/office/drawing/2014/main" id="{4AFCAFB4-7540-4D43-A2E2-16D3A463CA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3:M32">
  <tableColumns count="13">
    <tableColumn id="1" xr3:uid="{00000000-0010-0000-0000-000001000000}" name="Intervention"/>
    <tableColumn id="2" xr3:uid="{00000000-0010-0000-0000-000002000000}" name="Description/definition"/>
    <tableColumn id="3" xr3:uid="{00000000-0010-0000-0000-000003000000}" name="Cost or Savings"/>
    <tableColumn id="4" xr3:uid="{00000000-0010-0000-0000-000004000000}" name="Cost/savings amount estimate (first year)"/>
    <tableColumn id="5" xr3:uid="{00000000-0010-0000-0000-000005000000}" name="Cost or savings estimate (first year)"/>
    <tableColumn id="6" xr3:uid="{00000000-0010-0000-0000-000006000000}" name="Cost or savings explained: Numbers prorated to a 200-bed hospital"/>
    <tableColumn id="7" xr3:uid="{00000000-0010-0000-0000-000007000000}" name="GHG reduction estimate (T CO₂e)"/>
    <tableColumn id="8" xr3:uid="{00000000-0010-0000-0000-000008000000}" name="GHG reduction explained: Prorated to a 200-bed hospital over one year"/>
    <tableColumn id="9" xr3:uid="{00000000-0010-0000-0000-000009000000}" name="GHG reduction scaled to average # of beds in a GTHA hospital over one year (tCO2e)"/>
    <tableColumn id="10" xr3:uid="{00000000-0010-0000-0000-00000A000000}" name="Cost/saving scaled to average # of beds in a GTHA hospital over one year"/>
    <tableColumn id="11" xr3:uid="{00000000-0010-0000-0000-00000B000000}" name="Local GHG Reduction (tCO2e)"/>
    <tableColumn id="12" xr3:uid="{00000000-0010-0000-0000-00000C000000}" name="National GHG Reduction (tCO2e)"/>
    <tableColumn id="13" xr3:uid="{00000000-0010-0000-0000-00000D000000}" name="Global GHG Reduction (tCO2e)"/>
  </tableColumns>
  <tableStyleInfo name="Methodology - Scaling PEACH Ho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journals.sagepub.com/doi/10.1177/01410768231166135" TargetMode="External"/><Relationship Id="rId13" Type="http://schemas.openxmlformats.org/officeDocument/2006/relationships/hyperlink" Target="https://roncosafety.com/product/clear-vinyl-gloves-230/" TargetMode="External"/><Relationship Id="rId18" Type="http://schemas.openxmlformats.org/officeDocument/2006/relationships/drawing" Target="../drawings/drawing2.xml"/><Relationship Id="rId3" Type="http://schemas.openxmlformats.org/officeDocument/2006/relationships/hyperlink" Target="https://journals.sagepub.com/doi/10.1177/01410768211001583" TargetMode="External"/><Relationship Id="rId7" Type="http://schemas.openxmlformats.org/officeDocument/2006/relationships/hyperlink" Target="https://discovery.ucl.ac.uk/id/eprint/10139239/3/Ashley_LCA%20Medical%20Gloves%20manuscript%20JHI%2025N%20copy.pdf" TargetMode="External"/><Relationship Id="rId12" Type="http://schemas.openxmlformats.org/officeDocument/2006/relationships/hyperlink" Target="https://discovery.ucl.ac.uk/id/eprint/10139239/3/Ashley_LCA%20Medical%20Gloves%20manuscript%20JHI%2025N%20copy.pdf" TargetMode="External"/><Relationship Id="rId17" Type="http://schemas.openxmlformats.org/officeDocument/2006/relationships/hyperlink" Target="https://discovery.ucl.ac.uk/id/eprint/10139239/3/Ashley_LCA%20Medical%20Gloves%20manuscript%20JHI%2025N%20copy.pdf" TargetMode="External"/><Relationship Id="rId2" Type="http://schemas.openxmlformats.org/officeDocument/2006/relationships/hyperlink" Target="https://www.intcomedical.com/news/info/INTCO-Medical-Achieves-Dual-LCA-Carbon-Footprint-Certifications.html" TargetMode="External"/><Relationship Id="rId16" Type="http://schemas.openxmlformats.org/officeDocument/2006/relationships/hyperlink" Target="https://journals.sagepub.com/action/downloadSupplement?doi=10.1177%2F01410768231166135&amp;file=sj-pdf-1-jrs-10.1177_01410768231166135.pdf" TargetMode="External"/><Relationship Id="rId1" Type="http://schemas.openxmlformats.org/officeDocument/2006/relationships/hyperlink" Target="https://www.sciencedirect.com/science/article/pii/S266727822300072X?via%3Dihub" TargetMode="External"/><Relationship Id="rId6" Type="http://schemas.openxmlformats.org/officeDocument/2006/relationships/hyperlink" Target="https://doi.org/10.1016/j.resconrec.2020.104862" TargetMode="External"/><Relationship Id="rId11" Type="http://schemas.openxmlformats.org/officeDocument/2006/relationships/hyperlink" Target="https://discovery.ucl.ac.uk/id/eprint/10139239/3/Ashley_LCA%20Medical%20Gloves%20manuscript%20JHI%2025N%20copy.pdf" TargetMode="External"/><Relationship Id="rId5" Type="http://schemas.openxmlformats.org/officeDocument/2006/relationships/hyperlink" Target="https://discovery.ucl.ac.uk/id/eprint/10139239/3/Ashley_LCA%20Medical%20Gloves%20manuscript%20JHI%2025N%20copy.pdf" TargetMode="External"/><Relationship Id="rId15" Type="http://schemas.openxmlformats.org/officeDocument/2006/relationships/hyperlink" Target="https://glovenation.com/products/high-risk-latex-exam-pf-800" TargetMode="External"/><Relationship Id="rId10" Type="http://schemas.openxmlformats.org/officeDocument/2006/relationships/hyperlink" Target="https://doi.org/10.1016/j.resconrec.2020.104862" TargetMode="External"/><Relationship Id="rId4" Type="http://schemas.openxmlformats.org/officeDocument/2006/relationships/hyperlink" Target="https://sustain.ubc.ca/sites/default/files/seedslibrary/BEST_402_Nitrile%20Glove%20LCA_Final%20Report.pdf" TargetMode="External"/><Relationship Id="rId9" Type="http://schemas.openxmlformats.org/officeDocument/2006/relationships/hyperlink" Target="https://shop.wessexcleaning.com/files/ww/product/Traffi%20TD%2002%20PCF%20Assessment%20Complete%20Lifecycle%20_Cradle-to-Grave_%20_5bFINAL_5d%20Report%20-%2003Aug2022.pdf?srsltid=AfmBOoooyyEtruoSpf6JDL1Y8aswOGYCNposqynDN82IkyvZbGj2wjPJ" TargetMode="External"/><Relationship Id="rId14" Type="http://schemas.openxmlformats.org/officeDocument/2006/relationships/hyperlink" Target="https://sustain.ubc.ca/sites/default/files/seedslibrary/BEST_402_Nitrile%20Glove%20LCA_Final%20Report.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news.ontario.ca/en/release/47308/ontario-improving-access-to-care-with-major-expansion-of-toronto-western-hospital" TargetMode="External"/><Relationship Id="rId2" Type="http://schemas.openxmlformats.org/officeDocument/2006/relationships/hyperlink" Target="https://www.oha.com/news/converting-surgical-waste-into-sustainable-solutions" TargetMode="External"/><Relationship Id="rId1" Type="http://schemas.openxmlformats.org/officeDocument/2006/relationships/hyperlink" Target="https://www.uhn.ca/transplant" TargetMode="External"/><Relationship Id="rId6" Type="http://schemas.openxmlformats.org/officeDocument/2006/relationships/hyperlink" Target="https://www.resourcify.com/recycle/cautery-pens" TargetMode="External"/><Relationship Id="rId5" Type="http://schemas.openxmlformats.org/officeDocument/2006/relationships/hyperlink" Target="https://www.premierrecycling.ca/contact/premier-recycling-mississauga-ltd/pricing/" TargetMode="External"/><Relationship Id="rId4" Type="http://schemas.openxmlformats.org/officeDocument/2006/relationships/hyperlink" Target="https://albertatextiles.com/product/reusable-surgical-cap-w-ties/?srsltid=AfmBOoqk6rwLh5gfJ-58Aqny5B3AU6JZ5PcA_aVhN6PXdP67lPgfd_b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api.cqc.org.uk/public/v1/reports/6cec7b21-a2a9-4413-9d75-72e93a75a65a?20210123154602=&amp;utm_source=chatgpt.com" TargetMode="External"/><Relationship Id="rId13" Type="http://schemas.openxmlformats.org/officeDocument/2006/relationships/hyperlink" Target="https://www.providence.org/locations/or/st-vincent-medical-center/about-us?utm_source=chatgpt.com" TargetMode="External"/><Relationship Id="rId3" Type="http://schemas.openxmlformats.org/officeDocument/2006/relationships/hyperlink" Target="https://pubmed.ncbi.nlm.nih.gov/39322471/" TargetMode="External"/><Relationship Id="rId7" Type="http://schemas.openxmlformats.org/officeDocument/2006/relationships/hyperlink" Target="https://www.cqc.org.uk/provider/RGT/inspection-summary?utm_source=chatgpt.com" TargetMode="External"/><Relationship Id="rId12" Type="http://schemas.openxmlformats.org/officeDocument/2006/relationships/hyperlink" Target="https://en.wikipedia.org/wiki/Royal_United_Hospital?utm_source=chatgpt.com" TargetMode="External"/><Relationship Id="rId2" Type="http://schemas.openxmlformats.org/officeDocument/2006/relationships/hyperlink" Target="https://www.england.nhs.uk/greenernhs/whats-already-happening/nitrous-oxide-cutting-waste-to-reduce-emissions-and-save-money/" TargetMode="External"/><Relationship Id="rId1" Type="http://schemas.openxmlformats.org/officeDocument/2006/relationships/hyperlink" Target="https://s42140.pcdn.co/wp-content/uploads/Nitrous-oxide-toolkit-for-reducing-waste-in-NHS-trusts.pdf" TargetMode="External"/><Relationship Id="rId6" Type="http://schemas.openxmlformats.org/officeDocument/2006/relationships/hyperlink" Target="https://www.cqc.org.uk/provider/RGT/inspection-summary?utm_source=chatgpt.com" TargetMode="External"/><Relationship Id="rId11" Type="http://schemas.openxmlformats.org/officeDocument/2006/relationships/hyperlink" Target="https://www.cqc.org.uk/provider/RJZ/reports?utm_source=chatgpt.com" TargetMode="External"/><Relationship Id="rId5" Type="http://schemas.openxmlformats.org/officeDocument/2006/relationships/hyperlink" Target="https://www.cqc.org.uk/provider/R0A/inspection-summary?utm_source=chatgpt.com" TargetMode="External"/><Relationship Id="rId10" Type="http://schemas.openxmlformats.org/officeDocument/2006/relationships/hyperlink" Target="https://www.cqc.org.uk/provider/RJZ/reports?utm_source=chatgpt.com" TargetMode="External"/><Relationship Id="rId4" Type="http://schemas.openxmlformats.org/officeDocument/2006/relationships/hyperlink" Target="https://www.cqc.org.uk/provider/R0A/inspection-summary?utm_source=chatgpt.com" TargetMode="External"/><Relationship Id="rId9" Type="http://schemas.openxmlformats.org/officeDocument/2006/relationships/hyperlink" Target="https://glostext.gloucestershire.gov.uk/mgConvert2PDF.aspx?ID=1637&amp;utm_source=chatgpt.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sciencedirect.com/science/article/pii/S000709122300725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anjsurg.ca/content/67/6suppl2/S77" TargetMode="External"/><Relationship Id="rId2" Type="http://schemas.openxmlformats.org/officeDocument/2006/relationships/hyperlink" Target="https://www.ghadvances.org/article/S2772-5723(25)00012-3/fulltext" TargetMode="External"/><Relationship Id="rId1" Type="http://schemas.openxmlformats.org/officeDocument/2006/relationships/hyperlink" Target="https://pmc.ncbi.nlm.nih.gov/articles/PMC11982656/"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longwoods.com/articles/images/05-HQ-Vol25-No3-Sergeant-Table1.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ihi.ca/sites/default/files/document/canadians-with-regular-health-provider-data-tables-en.xlsx" TargetMode="External"/><Relationship Id="rId1" Type="http://schemas.openxmlformats.org/officeDocument/2006/relationships/hyperlink" Target="https://www.cihi.ca/en/the-state-of-the-health-workforce-in-canada-2023/go-in-depth-2023-health-workforc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75D-490B-4E32-8B05-42AB163E72D3}">
  <sheetPr>
    <tabColor rgb="FFFFC000"/>
  </sheetPr>
  <dimension ref="B7:B12"/>
  <sheetViews>
    <sheetView tabSelected="1" workbookViewId="0">
      <selection activeCell="A28" sqref="A28:XFD29"/>
    </sheetView>
  </sheetViews>
  <sheetFormatPr defaultRowHeight="12.75"/>
  <cols>
    <col min="1" max="1" width="3.140625" style="172" customWidth="1"/>
    <col min="2" max="16384" width="9.140625" style="172"/>
  </cols>
  <sheetData>
    <row r="7" spans="2:2" ht="25.5" customHeight="1"/>
    <row r="8" spans="2:2" ht="18.75">
      <c r="B8" s="203" t="s">
        <v>414</v>
      </c>
    </row>
    <row r="9" spans="2:2" ht="81" customHeight="1"/>
    <row r="10" spans="2:2" ht="15">
      <c r="B10" s="204" t="s">
        <v>415</v>
      </c>
    </row>
    <row r="12" spans="2:2" ht="18.75">
      <c r="B12" s="205" t="s">
        <v>416</v>
      </c>
    </row>
  </sheetData>
  <sheetProtection algorithmName="SHA-512" hashValue="zb5u/h6yKR3zLHUxV2Prd1bkjtOMMx4uKhYFOuHPHAXYl1cUu4y4gen9ur5PJiX6JLeas/yixg4U0+IM9i0EQw==" saltValue="JFViotPP0kLHveqPgY4Zig==" spinCount="100000" sheet="1" objects="1" scenarios="1"/>
  <hyperlinks>
    <hyperlink ref="B10" r:id="rId1" xr:uid="{F4D1C124-B306-4D07-8F08-D7F6376EB28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Y1006"/>
  <sheetViews>
    <sheetView showGridLines="0" workbookViewId="0">
      <selection activeCell="B70" sqref="B70"/>
    </sheetView>
  </sheetViews>
  <sheetFormatPr defaultColWidth="12.5703125" defaultRowHeight="15" customHeight="1"/>
  <cols>
    <col min="1" max="1" width="48.7109375" customWidth="1"/>
    <col min="2" max="2" width="48.28515625" customWidth="1"/>
    <col min="3" max="3" width="29.140625" customWidth="1"/>
    <col min="4" max="4" width="32.85546875" customWidth="1"/>
    <col min="5" max="5" width="32.5703125" customWidth="1"/>
    <col min="6" max="6" width="9" bestFit="1" customWidth="1"/>
    <col min="8" max="8" width="20" customWidth="1"/>
    <col min="9" max="9" width="43.5703125" customWidth="1"/>
    <col min="11" max="11" width="15.42578125" bestFit="1" customWidth="1"/>
    <col min="12" max="12" width="34" customWidth="1"/>
    <col min="14" max="14" width="18.42578125" customWidth="1"/>
    <col min="15" max="15" width="27.42578125" customWidth="1"/>
  </cols>
  <sheetData>
    <row r="2" spans="1:15" ht="15" customHeight="1">
      <c r="A2" s="158" t="s">
        <v>396</v>
      </c>
      <c r="B2" s="159" t="s">
        <v>397</v>
      </c>
    </row>
    <row r="3" spans="1:15" ht="15" customHeight="1">
      <c r="A3" s="160" t="s">
        <v>398</v>
      </c>
      <c r="B3" s="161" t="s">
        <v>399</v>
      </c>
    </row>
    <row r="5" spans="1:15" ht="15.75" customHeight="1">
      <c r="A5" s="200" t="s">
        <v>0</v>
      </c>
      <c r="B5" s="2" t="s">
        <v>1</v>
      </c>
      <c r="C5" s="2" t="s">
        <v>2</v>
      </c>
      <c r="D5" s="3"/>
      <c r="E5" s="4"/>
      <c r="G5" s="4"/>
      <c r="H5" s="5"/>
      <c r="I5" s="5"/>
      <c r="O5" s="4"/>
    </row>
    <row r="6" spans="1:15" ht="15.75" customHeight="1">
      <c r="A6" s="6" t="s">
        <v>3</v>
      </c>
      <c r="B6" s="190">
        <v>100000</v>
      </c>
      <c r="C6" s="7" t="s">
        <v>4</v>
      </c>
      <c r="D6" s="3"/>
      <c r="G6" s="4"/>
      <c r="H6" s="5"/>
      <c r="I6" s="5"/>
      <c r="O6" s="4"/>
    </row>
    <row r="7" spans="1:15" ht="15.75" customHeight="1">
      <c r="A7" s="208" t="s">
        <v>400</v>
      </c>
      <c r="B7" s="209"/>
      <c r="C7" s="210"/>
      <c r="D7" s="3"/>
      <c r="G7" s="4"/>
      <c r="H7" s="5"/>
      <c r="I7" s="5"/>
      <c r="O7" s="4"/>
    </row>
    <row r="8" spans="1:15" ht="15.75" customHeight="1">
      <c r="A8" s="7" t="s">
        <v>5</v>
      </c>
      <c r="B8" s="191">
        <v>0.3</v>
      </c>
      <c r="C8" s="7" t="s">
        <v>6</v>
      </c>
      <c r="D8" s="3"/>
      <c r="G8" s="4"/>
      <c r="H8" s="5"/>
      <c r="I8" s="5"/>
      <c r="O8" s="4"/>
    </row>
    <row r="9" spans="1:15" ht="15.75" customHeight="1">
      <c r="A9" s="7" t="s">
        <v>7</v>
      </c>
      <c r="B9" s="191">
        <v>0.5</v>
      </c>
      <c r="C9" s="7" t="s">
        <v>6</v>
      </c>
      <c r="D9" s="3"/>
      <c r="G9" s="4"/>
      <c r="H9" s="5"/>
      <c r="I9" s="5"/>
      <c r="O9" s="4"/>
    </row>
    <row r="10" spans="1:15" ht="15.75" customHeight="1">
      <c r="A10" s="7" t="s">
        <v>8</v>
      </c>
      <c r="B10" s="191">
        <v>0.1</v>
      </c>
      <c r="C10" s="7" t="s">
        <v>6</v>
      </c>
      <c r="D10" s="3"/>
      <c r="G10" s="4"/>
      <c r="H10" s="5"/>
      <c r="I10" s="5"/>
      <c r="O10" s="4"/>
    </row>
    <row r="11" spans="1:15" ht="15.75" customHeight="1">
      <c r="A11" s="7" t="s">
        <v>9</v>
      </c>
      <c r="B11" s="191">
        <v>0.05</v>
      </c>
      <c r="C11" s="7" t="s">
        <v>6</v>
      </c>
      <c r="D11" s="3"/>
      <c r="G11" s="4"/>
      <c r="H11" s="5"/>
      <c r="I11" s="5"/>
      <c r="O11" s="4"/>
    </row>
    <row r="12" spans="1:15" ht="15.75" customHeight="1">
      <c r="A12" s="8" t="s">
        <v>10</v>
      </c>
      <c r="B12" s="192">
        <v>0.05</v>
      </c>
      <c r="C12" s="7" t="s">
        <v>6</v>
      </c>
      <c r="D12" s="3"/>
      <c r="G12" s="4"/>
      <c r="H12" s="5"/>
      <c r="I12" s="5"/>
      <c r="O12" s="4"/>
    </row>
    <row r="13" spans="1:15" ht="15.75" customHeight="1">
      <c r="A13" s="181" t="s">
        <v>407</v>
      </c>
      <c r="B13" s="193"/>
      <c r="C13" s="7" t="s">
        <v>11</v>
      </c>
      <c r="D13" s="3"/>
      <c r="G13" s="4"/>
      <c r="H13" s="5"/>
      <c r="I13" s="5"/>
      <c r="O13" s="4"/>
    </row>
    <row r="14" spans="1:15" ht="15.75" customHeight="1">
      <c r="A14" s="211" t="s">
        <v>12</v>
      </c>
      <c r="B14" s="209"/>
      <c r="C14" s="210"/>
      <c r="D14" s="3"/>
      <c r="G14" s="4"/>
      <c r="H14" s="5"/>
      <c r="I14" s="5"/>
      <c r="O14" s="4"/>
    </row>
    <row r="15" spans="1:15" ht="15.75" customHeight="1">
      <c r="A15" s="7" t="s">
        <v>5</v>
      </c>
      <c r="B15" s="194">
        <v>0.3</v>
      </c>
      <c r="C15" s="7" t="s">
        <v>6</v>
      </c>
      <c r="D15" s="3"/>
      <c r="G15" s="4"/>
      <c r="H15" s="5"/>
      <c r="I15" s="5"/>
      <c r="O15" s="4"/>
    </row>
    <row r="16" spans="1:15" ht="15.75" customHeight="1">
      <c r="A16" s="7" t="s">
        <v>7</v>
      </c>
      <c r="B16" s="194">
        <v>0.5</v>
      </c>
      <c r="C16" s="7" t="s">
        <v>6</v>
      </c>
      <c r="D16" s="3"/>
      <c r="G16" s="4"/>
      <c r="H16" s="5"/>
      <c r="I16" s="5"/>
      <c r="O16" s="4"/>
    </row>
    <row r="17" spans="1:15" ht="15.75" customHeight="1">
      <c r="A17" s="7" t="s">
        <v>8</v>
      </c>
      <c r="B17" s="194">
        <v>0.1</v>
      </c>
      <c r="C17" s="7" t="s">
        <v>6</v>
      </c>
      <c r="D17" s="3"/>
      <c r="G17" s="4"/>
      <c r="H17" s="5"/>
      <c r="I17" s="5"/>
      <c r="O17" s="4"/>
    </row>
    <row r="18" spans="1:15" ht="15.75" customHeight="1">
      <c r="A18" s="7" t="s">
        <v>9</v>
      </c>
      <c r="B18" s="194">
        <v>0.05</v>
      </c>
      <c r="C18" s="7" t="s">
        <v>6</v>
      </c>
      <c r="D18" s="3"/>
      <c r="G18" s="4"/>
      <c r="H18" s="5"/>
      <c r="I18" s="5"/>
      <c r="O18" s="4"/>
    </row>
    <row r="19" spans="1:15" ht="15.75" customHeight="1">
      <c r="A19" s="8" t="s">
        <v>10</v>
      </c>
      <c r="B19" s="195">
        <v>0.05</v>
      </c>
      <c r="C19" s="7" t="s">
        <v>6</v>
      </c>
      <c r="D19" s="3"/>
      <c r="G19" s="4"/>
      <c r="H19" s="5"/>
      <c r="I19" s="5"/>
      <c r="O19" s="4"/>
    </row>
    <row r="20" spans="1:15" ht="15.75" customHeight="1">
      <c r="A20" s="185"/>
      <c r="B20" s="196"/>
      <c r="C20" s="187"/>
      <c r="D20" s="3"/>
      <c r="G20" s="4"/>
      <c r="H20" s="5"/>
      <c r="I20" s="5"/>
      <c r="O20" s="4"/>
    </row>
    <row r="21" spans="1:15" ht="15.75" customHeight="1">
      <c r="D21" s="3"/>
      <c r="G21" s="4"/>
      <c r="H21" s="5"/>
      <c r="I21" s="5"/>
      <c r="O21" s="4"/>
    </row>
    <row r="22" spans="1:15" ht="25.5">
      <c r="A22" s="162" t="s">
        <v>404</v>
      </c>
      <c r="B22" s="12" t="s">
        <v>20</v>
      </c>
      <c r="C22" s="162" t="s">
        <v>21</v>
      </c>
      <c r="D22" s="162" t="s">
        <v>412</v>
      </c>
      <c r="E22" s="162" t="s">
        <v>413</v>
      </c>
      <c r="H22" s="5"/>
      <c r="I22" s="5"/>
      <c r="O22" s="4"/>
    </row>
    <row r="23" spans="1:15" ht="12.75">
      <c r="A23" s="7" t="s">
        <v>5</v>
      </c>
      <c r="B23" s="13">
        <f>B8</f>
        <v>0.3</v>
      </c>
      <c r="C23" s="197">
        <f t="shared" ref="C23:C27" si="0">$B$6*B23</f>
        <v>30000</v>
      </c>
      <c r="D23" s="201">
        <f>C23*B55/1000</f>
        <v>0.74550000000000005</v>
      </c>
      <c r="E23" s="155">
        <f>D23*B42</f>
        <v>0.22365000000000002</v>
      </c>
      <c r="H23" s="5"/>
      <c r="I23" s="5"/>
      <c r="O23" s="4"/>
    </row>
    <row r="24" spans="1:15" ht="12.75">
      <c r="A24" s="7" t="s">
        <v>7</v>
      </c>
      <c r="B24" s="13">
        <f>B9</f>
        <v>0.5</v>
      </c>
      <c r="C24" s="197">
        <f>$B$6*B24</f>
        <v>50000</v>
      </c>
      <c r="D24" s="201">
        <f>C24*B56/1000</f>
        <v>1.6376000000000002</v>
      </c>
      <c r="E24" s="155">
        <f>D24*B43</f>
        <v>0.49128000000000005</v>
      </c>
      <c r="G24" s="4"/>
      <c r="H24" s="5"/>
      <c r="I24" s="5"/>
      <c r="O24" s="4"/>
    </row>
    <row r="25" spans="1:15" ht="12.75">
      <c r="A25" s="7" t="s">
        <v>8</v>
      </c>
      <c r="B25" s="13">
        <f>B10</f>
        <v>0.1</v>
      </c>
      <c r="C25" s="197">
        <f t="shared" si="0"/>
        <v>10000</v>
      </c>
      <c r="D25" s="201">
        <f>C25*B57/1000</f>
        <v>2.31</v>
      </c>
      <c r="E25" s="155">
        <f>D25*B44</f>
        <v>0.69299999999999995</v>
      </c>
      <c r="G25" s="4"/>
      <c r="H25" s="5"/>
      <c r="I25" s="5"/>
      <c r="O25" s="4"/>
    </row>
    <row r="26" spans="1:15" ht="15.75" customHeight="1">
      <c r="A26" s="7" t="s">
        <v>9</v>
      </c>
      <c r="B26" s="13">
        <f>B11</f>
        <v>0.05</v>
      </c>
      <c r="C26" s="197">
        <f t="shared" si="0"/>
        <v>5000</v>
      </c>
      <c r="D26" s="201">
        <f>C26*B58/1000</f>
        <v>0.72313333333333341</v>
      </c>
      <c r="E26" s="155">
        <f>D26*B45</f>
        <v>0.21694000000000002</v>
      </c>
      <c r="G26" s="4"/>
      <c r="H26" s="5"/>
      <c r="I26" s="5"/>
      <c r="O26" s="4"/>
    </row>
    <row r="27" spans="1:15" ht="15.75" customHeight="1">
      <c r="A27" s="8" t="s">
        <v>10</v>
      </c>
      <c r="B27" s="13">
        <f>B12</f>
        <v>0.05</v>
      </c>
      <c r="C27" s="198">
        <f t="shared" si="0"/>
        <v>5000</v>
      </c>
      <c r="D27" s="202">
        <f>C27*B59/1000</f>
        <v>1.9724999999999999</v>
      </c>
      <c r="E27" s="155">
        <f>D27*B46</f>
        <v>0.59175</v>
      </c>
      <c r="G27" s="4"/>
      <c r="H27" s="5"/>
      <c r="I27" s="5"/>
      <c r="O27" s="4"/>
    </row>
    <row r="28" spans="1:15" ht="15.75" customHeight="1">
      <c r="A28" s="7" t="s">
        <v>22</v>
      </c>
      <c r="B28" s="13">
        <f>SUM(B23:B27)</f>
        <v>1</v>
      </c>
      <c r="C28" s="197">
        <f>SUM(C23:C27)</f>
        <v>100000</v>
      </c>
      <c r="D28" s="201">
        <f>SUM(D23:D27)</f>
        <v>7.3887333333333336</v>
      </c>
      <c r="E28" s="155">
        <f>SUM(E23:E27)</f>
        <v>2.2166199999999998</v>
      </c>
      <c r="G28" s="4"/>
      <c r="H28" s="5"/>
      <c r="I28" s="5"/>
      <c r="O28" s="4"/>
    </row>
    <row r="29" spans="1:15" ht="15.75" customHeight="1">
      <c r="C29" s="182" t="s">
        <v>417</v>
      </c>
      <c r="D29" s="3"/>
      <c r="G29" s="4"/>
      <c r="H29" s="5"/>
      <c r="I29" s="5"/>
      <c r="O29" s="4"/>
    </row>
    <row r="30" spans="1:15" ht="15.75" customHeight="1">
      <c r="C30" s="182"/>
      <c r="D30" s="3"/>
      <c r="G30" s="4"/>
      <c r="H30" s="5"/>
      <c r="I30" s="5"/>
      <c r="O30" s="4"/>
    </row>
    <row r="31" spans="1:15" ht="15.75" customHeight="1">
      <c r="A31" s="171" t="s">
        <v>403</v>
      </c>
      <c r="B31" s="15" t="s">
        <v>1</v>
      </c>
      <c r="C31" s="171" t="s">
        <v>2</v>
      </c>
      <c r="D31" s="12" t="s">
        <v>41</v>
      </c>
      <c r="E31" s="4"/>
      <c r="G31" s="4"/>
      <c r="H31" s="5"/>
      <c r="I31" s="5"/>
      <c r="O31" s="4"/>
    </row>
    <row r="32" spans="1:15" ht="12.75">
      <c r="A32" s="7" t="s">
        <v>5</v>
      </c>
      <c r="B32" s="207">
        <v>4.5</v>
      </c>
      <c r="C32" s="169" t="s">
        <v>402</v>
      </c>
      <c r="D32" s="167" t="s">
        <v>401</v>
      </c>
      <c r="E32" s="4"/>
      <c r="G32" s="4"/>
      <c r="H32" s="5"/>
      <c r="I32" s="5"/>
      <c r="O32" s="4"/>
    </row>
    <row r="33" spans="1:15" ht="12.75">
      <c r="A33" s="7" t="s">
        <v>7</v>
      </c>
      <c r="B33" s="207">
        <v>3.44</v>
      </c>
      <c r="C33" s="169" t="s">
        <v>402</v>
      </c>
      <c r="D33" s="167" t="s">
        <v>401</v>
      </c>
      <c r="E33" s="4"/>
      <c r="G33" s="4"/>
      <c r="H33" s="5"/>
      <c r="I33" s="5"/>
      <c r="O33" s="4"/>
    </row>
    <row r="34" spans="1:15" ht="12.75">
      <c r="A34" s="7" t="s">
        <v>8</v>
      </c>
      <c r="B34" s="207">
        <f>AVERAGE(27.31/2, 42.14/4)</f>
        <v>12.094999999999999</v>
      </c>
      <c r="C34" s="169" t="s">
        <v>402</v>
      </c>
      <c r="D34" s="167" t="s">
        <v>401</v>
      </c>
      <c r="E34" s="4"/>
      <c r="G34" s="4"/>
      <c r="H34" s="5"/>
      <c r="I34" s="5"/>
      <c r="O34" s="4"/>
    </row>
    <row r="35" spans="1:15" ht="12.75">
      <c r="A35" s="7" t="s">
        <v>9</v>
      </c>
      <c r="B35" s="207">
        <v>6.5</v>
      </c>
      <c r="C35" s="169" t="s">
        <v>402</v>
      </c>
      <c r="D35" s="167" t="s">
        <v>401</v>
      </c>
      <c r="E35" s="4"/>
      <c r="G35" s="4"/>
      <c r="H35" s="5"/>
      <c r="I35" s="5"/>
      <c r="O35" s="4"/>
    </row>
    <row r="36" spans="1:15" ht="12.75">
      <c r="A36" s="8" t="s">
        <v>10</v>
      </c>
      <c r="B36" s="207">
        <f>11.29/2</f>
        <v>5.6449999999999996</v>
      </c>
      <c r="C36" s="169" t="s">
        <v>402</v>
      </c>
      <c r="D36" s="167" t="s">
        <v>401</v>
      </c>
      <c r="E36" s="4"/>
      <c r="G36" s="4"/>
      <c r="H36" s="5"/>
      <c r="I36" s="5"/>
      <c r="O36" s="4"/>
    </row>
    <row r="37" spans="1:15" ht="15.75" customHeight="1">
      <c r="B37" s="182" t="s">
        <v>408</v>
      </c>
      <c r="D37" s="5"/>
      <c r="E37" s="4"/>
      <c r="G37" s="4"/>
      <c r="H37" s="5"/>
      <c r="I37" s="5"/>
      <c r="O37" s="4"/>
    </row>
    <row r="38" spans="1:15" ht="15.75" customHeight="1">
      <c r="C38" s="182"/>
      <c r="D38" s="3"/>
      <c r="G38" s="4"/>
      <c r="H38" s="5"/>
      <c r="I38" s="5"/>
      <c r="O38" s="4"/>
    </row>
    <row r="39" spans="1:15" ht="15.75" customHeight="1">
      <c r="C39" s="182"/>
      <c r="D39" s="3"/>
      <c r="G39" s="4"/>
      <c r="H39" s="5"/>
      <c r="I39" s="5"/>
      <c r="O39" s="4"/>
    </row>
    <row r="40" spans="1:15" ht="15.75" customHeight="1">
      <c r="A40" s="184" t="s">
        <v>411</v>
      </c>
      <c r="B40" s="9" t="s">
        <v>1</v>
      </c>
      <c r="C40" s="1" t="s">
        <v>2</v>
      </c>
      <c r="D40" s="3"/>
      <c r="G40" s="4"/>
      <c r="H40" s="5"/>
      <c r="I40" s="5"/>
      <c r="O40" s="4"/>
    </row>
    <row r="41" spans="1:15" s="172" customFormat="1" ht="15.75" customHeight="1">
      <c r="A41" s="212" t="s">
        <v>405</v>
      </c>
      <c r="B41" s="213"/>
      <c r="C41" s="214"/>
      <c r="D41" s="173"/>
      <c r="G41" s="174"/>
      <c r="H41" s="175"/>
      <c r="I41" s="175"/>
      <c r="O41" s="174"/>
    </row>
    <row r="42" spans="1:15" ht="15.75" customHeight="1">
      <c r="A42" s="7" t="s">
        <v>5</v>
      </c>
      <c r="B42" s="199">
        <v>0.3</v>
      </c>
      <c r="C42" s="7" t="s">
        <v>13</v>
      </c>
      <c r="D42" s="3"/>
      <c r="G42" s="4"/>
      <c r="H42" s="5"/>
      <c r="I42" s="5"/>
      <c r="O42" s="4"/>
    </row>
    <row r="43" spans="1:15" ht="15.75" customHeight="1">
      <c r="A43" s="7" t="s">
        <v>7</v>
      </c>
      <c r="B43" s="199">
        <v>0.3</v>
      </c>
      <c r="C43" s="7" t="s">
        <v>13</v>
      </c>
      <c r="D43" s="3"/>
      <c r="G43" s="4"/>
      <c r="H43" s="5"/>
      <c r="I43" s="5"/>
      <c r="O43" s="4"/>
    </row>
    <row r="44" spans="1:15" ht="15.75" customHeight="1">
      <c r="A44" s="7" t="s">
        <v>8</v>
      </c>
      <c r="B44" s="199">
        <v>0.3</v>
      </c>
      <c r="C44" s="7" t="s">
        <v>13</v>
      </c>
      <c r="D44" s="3"/>
      <c r="G44" s="4"/>
      <c r="H44" s="5"/>
      <c r="I44" s="5"/>
      <c r="O44" s="4"/>
    </row>
    <row r="45" spans="1:15" ht="15.75" customHeight="1">
      <c r="A45" s="7" t="s">
        <v>9</v>
      </c>
      <c r="B45" s="199">
        <v>0.3</v>
      </c>
      <c r="C45" s="7" t="s">
        <v>13</v>
      </c>
      <c r="D45" s="3"/>
      <c r="G45" s="4"/>
      <c r="H45" s="5"/>
      <c r="I45" s="5"/>
      <c r="O45" s="4"/>
    </row>
    <row r="46" spans="1:15" ht="15.75" customHeight="1">
      <c r="A46" s="8" t="s">
        <v>10</v>
      </c>
      <c r="B46" s="199">
        <v>0.3</v>
      </c>
      <c r="C46" s="7" t="s">
        <v>13</v>
      </c>
      <c r="D46" s="3"/>
      <c r="G46" s="4"/>
      <c r="H46" s="5"/>
      <c r="I46" s="5"/>
      <c r="O46" s="4"/>
    </row>
    <row r="47" spans="1:15" ht="15.75" customHeight="1">
      <c r="A47" s="179" t="s">
        <v>14</v>
      </c>
      <c r="B47" s="177">
        <f>D28</f>
        <v>7.3887333333333336</v>
      </c>
      <c r="C47" s="178" t="s">
        <v>15</v>
      </c>
      <c r="D47" s="3"/>
      <c r="G47" s="4"/>
      <c r="H47" s="5"/>
      <c r="I47" s="5"/>
      <c r="O47" s="4"/>
    </row>
    <row r="48" spans="1:15" ht="15.75" customHeight="1">
      <c r="A48" s="179" t="s">
        <v>406</v>
      </c>
      <c r="B48" s="177">
        <f>E28</f>
        <v>2.2166199999999998</v>
      </c>
      <c r="C48" s="178" t="s">
        <v>15</v>
      </c>
      <c r="D48" s="3"/>
      <c r="G48" s="4"/>
      <c r="H48" s="5"/>
      <c r="I48" s="5"/>
      <c r="O48" s="4"/>
    </row>
    <row r="49" spans="1:25" ht="38.25">
      <c r="A49" s="206" t="s">
        <v>410</v>
      </c>
      <c r="B49" s="177">
        <f>B48/3.26*15021</f>
        <v>10213.450619631902</v>
      </c>
      <c r="C49" s="183" t="s">
        <v>409</v>
      </c>
      <c r="D49" s="3"/>
      <c r="G49" s="4"/>
      <c r="H49" s="5"/>
      <c r="I49" s="5"/>
      <c r="O49" s="4"/>
    </row>
    <row r="50" spans="1:25" ht="15.75" customHeight="1">
      <c r="A50" s="176" t="s">
        <v>16</v>
      </c>
      <c r="B50" s="178">
        <f>SUMPRODUCT(C23:C27,B32:B36)/1000000</f>
        <v>0.48867500000000003</v>
      </c>
      <c r="C50" s="180" t="s">
        <v>17</v>
      </c>
      <c r="D50" s="3"/>
      <c r="E50" s="4"/>
      <c r="G50" s="4"/>
      <c r="H50" s="5"/>
      <c r="I50" s="5"/>
      <c r="O50" s="4"/>
    </row>
    <row r="51" spans="1:25" ht="15.75" customHeight="1">
      <c r="A51" s="176" t="s">
        <v>18</v>
      </c>
      <c r="B51" s="178">
        <f>B13*B42</f>
        <v>0</v>
      </c>
      <c r="C51" s="178" t="s">
        <v>19</v>
      </c>
      <c r="D51" s="3"/>
      <c r="E51" s="4"/>
      <c r="G51" s="4"/>
      <c r="H51" s="5"/>
      <c r="I51" s="5"/>
      <c r="O51" s="4"/>
    </row>
    <row r="52" spans="1:25" ht="12.75">
      <c r="D52" s="3"/>
      <c r="E52" s="4"/>
      <c r="G52" s="4"/>
      <c r="H52" s="5"/>
      <c r="I52" s="5"/>
      <c r="O52" s="4"/>
    </row>
    <row r="53" spans="1:25" ht="15.75" customHeight="1">
      <c r="A53" s="14"/>
      <c r="D53" s="3"/>
      <c r="G53" s="4"/>
      <c r="H53" s="5"/>
      <c r="I53" s="5"/>
      <c r="O53" s="4"/>
    </row>
    <row r="54" spans="1:25" ht="15.75" customHeight="1">
      <c r="A54" s="15" t="s">
        <v>23</v>
      </c>
      <c r="B54" s="12" t="s">
        <v>24</v>
      </c>
      <c r="C54" s="15" t="s">
        <v>2</v>
      </c>
      <c r="D54" s="16" t="s">
        <v>25</v>
      </c>
      <c r="E54" s="17" t="s">
        <v>26</v>
      </c>
      <c r="F54" s="15" t="s">
        <v>27</v>
      </c>
      <c r="G54" s="15" t="s">
        <v>28</v>
      </c>
      <c r="H54" s="12" t="s">
        <v>26</v>
      </c>
      <c r="I54" s="12" t="s">
        <v>29</v>
      </c>
      <c r="J54" s="15" t="s">
        <v>30</v>
      </c>
      <c r="K54" s="15" t="s">
        <v>26</v>
      </c>
      <c r="L54" s="15" t="s">
        <v>31</v>
      </c>
      <c r="M54" s="15" t="s">
        <v>32</v>
      </c>
      <c r="N54" s="15" t="s">
        <v>26</v>
      </c>
      <c r="O54" s="15" t="s">
        <v>33</v>
      </c>
    </row>
    <row r="55" spans="1:25" ht="25.5">
      <c r="A55" s="7" t="s">
        <v>5</v>
      </c>
      <c r="B55" s="18">
        <f t="shared" ref="B55:B57" si="1">AVERAGE(D55,G55,J55,M55)</f>
        <v>2.4850000000000001E-2</v>
      </c>
      <c r="C55" s="19" t="s">
        <v>34</v>
      </c>
      <c r="D55" s="20">
        <f>1.8/100</f>
        <v>1.8000000000000002E-2</v>
      </c>
      <c r="E55" s="7" t="s">
        <v>35</v>
      </c>
      <c r="F55" s="166" t="s">
        <v>401</v>
      </c>
      <c r="G55" s="7">
        <f>0.0317</f>
        <v>3.1699999999999999E-2</v>
      </c>
      <c r="H55" s="20" t="s">
        <v>36</v>
      </c>
      <c r="I55" s="167" t="s">
        <v>401</v>
      </c>
      <c r="J55" s="7"/>
      <c r="K55" s="7"/>
      <c r="L55" s="20"/>
      <c r="M55" s="7"/>
      <c r="N55" s="7"/>
      <c r="O55" s="7"/>
    </row>
    <row r="56" spans="1:25" ht="38.25">
      <c r="A56" s="7" t="s">
        <v>7</v>
      </c>
      <c r="B56" s="18">
        <f t="shared" si="1"/>
        <v>3.2752000000000003E-2</v>
      </c>
      <c r="C56" s="7" t="s">
        <v>34</v>
      </c>
      <c r="D56" s="21">
        <f>0.0262</f>
        <v>2.6200000000000001E-2</v>
      </c>
      <c r="E56" s="21" t="s">
        <v>37</v>
      </c>
      <c r="F56" s="167" t="s">
        <v>401</v>
      </c>
      <c r="G56" s="7">
        <f>3.056/100</f>
        <v>3.056E-2</v>
      </c>
      <c r="H56" s="170" t="s">
        <v>418</v>
      </c>
      <c r="I56" s="167" t="s">
        <v>401</v>
      </c>
      <c r="J56" s="4">
        <f>0.068/2</f>
        <v>3.4000000000000002E-2</v>
      </c>
      <c r="K56" s="7" t="s">
        <v>38</v>
      </c>
      <c r="L56" s="167" t="s">
        <v>401</v>
      </c>
      <c r="M56" s="4">
        <f>11.7/(1000/$B$33)</f>
        <v>4.0247999999999999E-2</v>
      </c>
      <c r="N56" s="20" t="s">
        <v>39</v>
      </c>
      <c r="O56" s="167" t="s">
        <v>401</v>
      </c>
    </row>
    <row r="57" spans="1:25" ht="12.75">
      <c r="A57" s="7" t="s">
        <v>8</v>
      </c>
      <c r="B57" s="18">
        <f t="shared" si="1"/>
        <v>0.23100000000000001</v>
      </c>
      <c r="C57" s="7" t="s">
        <v>34</v>
      </c>
      <c r="D57" s="20">
        <f>0.8/2</f>
        <v>0.4</v>
      </c>
      <c r="E57" s="7" t="s">
        <v>38</v>
      </c>
      <c r="F57" s="167" t="s">
        <v>401</v>
      </c>
      <c r="G57" s="22">
        <f>0.124/2</f>
        <v>6.2E-2</v>
      </c>
      <c r="H57" s="23" t="s">
        <v>38</v>
      </c>
      <c r="I57" s="167" t="s">
        <v>401</v>
      </c>
      <c r="J57" s="7"/>
      <c r="K57" s="7"/>
      <c r="L57" s="20"/>
      <c r="M57" s="7"/>
      <c r="N57" s="7"/>
      <c r="O57" s="7"/>
    </row>
    <row r="58" spans="1:25" ht="25.5">
      <c r="A58" s="7" t="s">
        <v>9</v>
      </c>
      <c r="B58" s="18">
        <f>AVERAGE(D58,G58,J58,M58)</f>
        <v>0.14462666666666668</v>
      </c>
      <c r="C58" s="7" t="s">
        <v>34</v>
      </c>
      <c r="D58" s="20">
        <f>0.0178</f>
        <v>1.78E-2</v>
      </c>
      <c r="E58" s="7" t="s">
        <v>40</v>
      </c>
      <c r="F58" s="167" t="s">
        <v>401</v>
      </c>
      <c r="G58" s="164">
        <f>3.32/(1000/$B$35)</f>
        <v>2.1579999999999998E-2</v>
      </c>
      <c r="H58" s="20" t="s">
        <v>39</v>
      </c>
      <c r="I58" s="167" t="s">
        <v>401</v>
      </c>
      <c r="J58" s="7">
        <f>0.789/2</f>
        <v>0.39450000000000002</v>
      </c>
      <c r="K58" s="7" t="s">
        <v>38</v>
      </c>
      <c r="L58" s="167" t="s">
        <v>401</v>
      </c>
      <c r="M58" s="7"/>
      <c r="N58" s="7"/>
      <c r="O58" s="7"/>
    </row>
    <row r="59" spans="1:25" ht="12.75">
      <c r="A59" s="8" t="s">
        <v>10</v>
      </c>
      <c r="B59" s="18">
        <f>AVERAGE(D59,G59,J59,M59)</f>
        <v>0.39450000000000002</v>
      </c>
      <c r="C59" s="7" t="s">
        <v>34</v>
      </c>
      <c r="D59" s="24">
        <f>0.789/2</f>
        <v>0.39450000000000002</v>
      </c>
      <c r="E59" s="7" t="s">
        <v>38</v>
      </c>
      <c r="F59" s="168" t="s">
        <v>401</v>
      </c>
      <c r="G59" s="165"/>
      <c r="H59" s="163"/>
      <c r="I59" s="24"/>
      <c r="J59" s="8"/>
      <c r="K59" s="8"/>
      <c r="L59" s="24"/>
      <c r="M59" s="8"/>
      <c r="N59" s="8"/>
      <c r="O59" s="8"/>
      <c r="P59" s="25"/>
      <c r="Q59" s="25"/>
      <c r="R59" s="25"/>
      <c r="S59" s="25"/>
      <c r="T59" s="25"/>
      <c r="U59" s="25"/>
      <c r="V59" s="25"/>
      <c r="W59" s="25"/>
      <c r="X59" s="25"/>
      <c r="Y59" s="25"/>
    </row>
    <row r="60" spans="1:25" ht="12.75">
      <c r="A60" s="185"/>
      <c r="B60" s="186"/>
      <c r="C60" s="187"/>
      <c r="D60" s="188"/>
      <c r="E60" s="187"/>
      <c r="F60" s="189"/>
      <c r="G60" s="185"/>
      <c r="H60" s="188"/>
      <c r="I60" s="188"/>
      <c r="J60" s="185"/>
      <c r="K60" s="185"/>
      <c r="L60" s="188"/>
      <c r="M60" s="185"/>
      <c r="N60" s="185"/>
      <c r="O60" s="185"/>
      <c r="P60" s="25"/>
      <c r="Q60" s="25"/>
      <c r="R60" s="25"/>
      <c r="S60" s="25"/>
      <c r="T60" s="25"/>
      <c r="U60" s="25"/>
      <c r="V60" s="25"/>
      <c r="W60" s="25"/>
      <c r="X60" s="25"/>
      <c r="Y60" s="25"/>
    </row>
    <row r="61" spans="1:25" ht="15.75" customHeight="1">
      <c r="D61" s="3"/>
      <c r="E61" s="4"/>
      <c r="G61" s="4"/>
      <c r="H61" s="5"/>
      <c r="I61" s="5"/>
      <c r="O61" s="4"/>
    </row>
    <row r="69" spans="4:15" ht="15.75" customHeight="1">
      <c r="D69" s="5"/>
      <c r="E69" s="4"/>
      <c r="G69" s="4"/>
      <c r="H69" s="5"/>
      <c r="I69" s="5"/>
      <c r="O69" s="4"/>
    </row>
    <row r="70" spans="4:15" ht="15.75" customHeight="1">
      <c r="D70" s="5"/>
      <c r="E70" s="4"/>
      <c r="G70" s="4"/>
      <c r="H70" s="5"/>
      <c r="I70" s="5"/>
      <c r="O70" s="4"/>
    </row>
    <row r="71" spans="4:15" ht="15.75" customHeight="1">
      <c r="D71" s="3"/>
      <c r="E71" s="4"/>
      <c r="G71" s="4"/>
      <c r="H71" s="5"/>
      <c r="I71" s="5"/>
      <c r="O71" s="4"/>
    </row>
    <row r="72" spans="4:15" ht="15.75" customHeight="1">
      <c r="D72" s="3"/>
      <c r="E72" s="4"/>
      <c r="G72" s="4"/>
      <c r="H72" s="5"/>
      <c r="I72" s="5"/>
      <c r="O72" s="4"/>
    </row>
    <row r="73" spans="4:15" ht="15.75" customHeight="1">
      <c r="D73" s="3"/>
      <c r="E73" s="4"/>
      <c r="G73" s="4"/>
      <c r="H73" s="5"/>
      <c r="I73" s="5"/>
      <c r="O73" s="4"/>
    </row>
    <row r="74" spans="4:15" ht="15.75" customHeight="1">
      <c r="D74" s="3"/>
      <c r="E74" s="4"/>
      <c r="G74" s="4"/>
      <c r="H74" s="5"/>
      <c r="I74" s="5"/>
      <c r="O74" s="4"/>
    </row>
    <row r="75" spans="4:15" ht="15.75" customHeight="1">
      <c r="D75" s="3"/>
      <c r="E75" s="4"/>
      <c r="G75" s="4"/>
      <c r="H75" s="5"/>
      <c r="I75" s="5"/>
      <c r="O75" s="4"/>
    </row>
    <row r="76" spans="4:15" ht="15.75" customHeight="1">
      <c r="D76" s="3"/>
      <c r="E76" s="4"/>
      <c r="G76" s="4"/>
      <c r="H76" s="5"/>
      <c r="I76" s="5"/>
      <c r="O76" s="4"/>
    </row>
    <row r="77" spans="4:15" ht="15.75" customHeight="1">
      <c r="D77" s="3"/>
      <c r="E77" s="4"/>
      <c r="G77" s="4"/>
      <c r="H77" s="5"/>
      <c r="I77" s="5"/>
      <c r="O77" s="4"/>
    </row>
    <row r="78" spans="4:15" ht="15.75" customHeight="1">
      <c r="D78" s="3"/>
      <c r="E78" s="4"/>
      <c r="G78" s="4"/>
      <c r="H78" s="5"/>
      <c r="I78" s="5"/>
      <c r="O78" s="4"/>
    </row>
    <row r="79" spans="4:15" ht="15.75" customHeight="1">
      <c r="D79" s="3"/>
      <c r="E79" s="4"/>
      <c r="G79" s="4"/>
      <c r="H79" s="5"/>
      <c r="I79" s="5"/>
      <c r="O79" s="4"/>
    </row>
    <row r="80" spans="4:15" ht="15.75" customHeight="1">
      <c r="D80" s="3"/>
      <c r="E80" s="4"/>
      <c r="G80" s="4"/>
      <c r="H80" s="5"/>
      <c r="I80" s="5"/>
      <c r="O80" s="4"/>
    </row>
    <row r="81" spans="4:15" ht="15.75" customHeight="1">
      <c r="D81" s="3"/>
      <c r="E81" s="4"/>
      <c r="G81" s="4"/>
      <c r="H81" s="5"/>
      <c r="I81" s="5"/>
      <c r="O81" s="4"/>
    </row>
    <row r="82" spans="4:15" ht="15.75" customHeight="1">
      <c r="D82" s="3"/>
      <c r="E82" s="4"/>
      <c r="G82" s="4"/>
      <c r="H82" s="5"/>
      <c r="I82" s="5"/>
      <c r="O82" s="4"/>
    </row>
    <row r="83" spans="4:15" ht="15.75" customHeight="1">
      <c r="D83" s="3"/>
      <c r="E83" s="4"/>
      <c r="G83" s="4"/>
      <c r="H83" s="5"/>
      <c r="I83" s="5"/>
      <c r="O83" s="4"/>
    </row>
    <row r="84" spans="4:15" ht="15.75" customHeight="1">
      <c r="D84" s="3"/>
      <c r="E84" s="4"/>
      <c r="G84" s="4"/>
      <c r="H84" s="5"/>
      <c r="I84" s="5"/>
      <c r="O84" s="4"/>
    </row>
    <row r="85" spans="4:15" ht="15.75" customHeight="1">
      <c r="D85" s="3"/>
      <c r="E85" s="4"/>
      <c r="G85" s="4"/>
      <c r="H85" s="5"/>
      <c r="I85" s="5"/>
      <c r="O85" s="4"/>
    </row>
    <row r="86" spans="4:15" ht="15.75" customHeight="1">
      <c r="D86" s="3"/>
      <c r="E86" s="4"/>
      <c r="G86" s="4"/>
      <c r="H86" s="5"/>
      <c r="I86" s="5"/>
      <c r="O86" s="4"/>
    </row>
    <row r="87" spans="4:15" ht="15.75" customHeight="1">
      <c r="D87" s="3"/>
      <c r="E87" s="4"/>
      <c r="G87" s="4"/>
      <c r="H87" s="5"/>
      <c r="I87" s="5"/>
      <c r="O87" s="4"/>
    </row>
    <row r="88" spans="4:15" ht="15.75" customHeight="1">
      <c r="D88" s="3"/>
      <c r="E88" s="4"/>
      <c r="G88" s="4"/>
      <c r="H88" s="5"/>
      <c r="I88" s="5"/>
      <c r="O88" s="4"/>
    </row>
    <row r="89" spans="4:15" ht="15.75" customHeight="1">
      <c r="D89" s="3"/>
      <c r="E89" s="4"/>
      <c r="G89" s="4"/>
      <c r="H89" s="5"/>
      <c r="I89" s="5"/>
      <c r="O89" s="4"/>
    </row>
    <row r="90" spans="4:15" ht="15.75" customHeight="1">
      <c r="D90" s="3"/>
      <c r="E90" s="4"/>
      <c r="G90" s="4"/>
      <c r="H90" s="5"/>
      <c r="I90" s="5"/>
      <c r="O90" s="4"/>
    </row>
    <row r="91" spans="4:15" ht="15.75" customHeight="1">
      <c r="D91" s="3"/>
      <c r="E91" s="4"/>
      <c r="G91" s="4"/>
      <c r="H91" s="5"/>
      <c r="I91" s="5"/>
      <c r="O91" s="4"/>
    </row>
    <row r="92" spans="4:15" ht="15.75" customHeight="1">
      <c r="D92" s="3"/>
      <c r="E92" s="4"/>
      <c r="G92" s="4"/>
      <c r="H92" s="5"/>
      <c r="I92" s="5"/>
      <c r="O92" s="4"/>
    </row>
    <row r="93" spans="4:15" ht="15.75" customHeight="1">
      <c r="D93" s="3"/>
      <c r="E93" s="4"/>
      <c r="G93" s="4"/>
      <c r="H93" s="5"/>
      <c r="I93" s="5"/>
      <c r="O93" s="4"/>
    </row>
    <row r="94" spans="4:15" ht="15.75" customHeight="1">
      <c r="D94" s="3"/>
      <c r="E94" s="4"/>
      <c r="G94" s="4"/>
      <c r="H94" s="5"/>
      <c r="I94" s="5"/>
      <c r="O94" s="4"/>
    </row>
    <row r="95" spans="4:15" ht="15.75" customHeight="1">
      <c r="D95" s="3"/>
      <c r="E95" s="4"/>
      <c r="G95" s="4"/>
      <c r="H95" s="5"/>
      <c r="I95" s="5"/>
      <c r="O95" s="4"/>
    </row>
    <row r="96" spans="4:15" ht="15.75" customHeight="1">
      <c r="D96" s="3"/>
      <c r="E96" s="4"/>
      <c r="G96" s="4"/>
      <c r="H96" s="5"/>
      <c r="I96" s="5"/>
      <c r="O96" s="4"/>
    </row>
    <row r="97" spans="4:15" ht="15.75" customHeight="1">
      <c r="D97" s="3"/>
      <c r="E97" s="4"/>
      <c r="G97" s="4"/>
      <c r="H97" s="5"/>
      <c r="I97" s="5"/>
      <c r="O97" s="4"/>
    </row>
    <row r="98" spans="4:15" ht="15.75" customHeight="1">
      <c r="D98" s="3"/>
      <c r="E98" s="4"/>
      <c r="G98" s="4"/>
      <c r="H98" s="5"/>
      <c r="I98" s="5"/>
      <c r="O98" s="4"/>
    </row>
    <row r="99" spans="4:15" ht="15.75" customHeight="1">
      <c r="D99" s="3"/>
      <c r="E99" s="4"/>
      <c r="G99" s="4"/>
      <c r="H99" s="5"/>
      <c r="I99" s="5"/>
      <c r="O99" s="4"/>
    </row>
    <row r="100" spans="4:15" ht="15.75" customHeight="1">
      <c r="D100" s="3"/>
      <c r="E100" s="4"/>
      <c r="G100" s="4"/>
      <c r="H100" s="5"/>
      <c r="I100" s="5"/>
      <c r="O100" s="4"/>
    </row>
    <row r="101" spans="4:15" ht="15.75" customHeight="1">
      <c r="D101" s="3"/>
      <c r="E101" s="4"/>
      <c r="G101" s="4"/>
      <c r="H101" s="5"/>
      <c r="I101" s="5"/>
      <c r="O101" s="4"/>
    </row>
    <row r="102" spans="4:15" ht="15.75" customHeight="1">
      <c r="D102" s="3"/>
      <c r="E102" s="4"/>
      <c r="G102" s="4"/>
      <c r="H102" s="5"/>
      <c r="I102" s="5"/>
      <c r="O102" s="4"/>
    </row>
    <row r="103" spans="4:15" ht="15.75" customHeight="1">
      <c r="D103" s="3"/>
      <c r="E103" s="4"/>
      <c r="G103" s="4"/>
      <c r="H103" s="5"/>
      <c r="I103" s="5"/>
      <c r="O103" s="4"/>
    </row>
    <row r="104" spans="4:15" ht="15.75" customHeight="1">
      <c r="D104" s="3"/>
      <c r="E104" s="4"/>
      <c r="G104" s="4"/>
      <c r="H104" s="5"/>
      <c r="I104" s="5"/>
      <c r="O104" s="4"/>
    </row>
    <row r="105" spans="4:15" ht="15.75" customHeight="1">
      <c r="D105" s="3"/>
      <c r="E105" s="4"/>
      <c r="G105" s="4"/>
      <c r="H105" s="5"/>
      <c r="I105" s="5"/>
      <c r="O105" s="4"/>
    </row>
    <row r="106" spans="4:15" ht="15.75" customHeight="1">
      <c r="D106" s="3"/>
      <c r="E106" s="4"/>
      <c r="G106" s="4"/>
      <c r="H106" s="5"/>
      <c r="I106" s="5"/>
      <c r="O106" s="4"/>
    </row>
    <row r="107" spans="4:15" ht="15.75" customHeight="1">
      <c r="D107" s="3"/>
      <c r="E107" s="4"/>
      <c r="G107" s="4"/>
      <c r="H107" s="5"/>
      <c r="I107" s="5"/>
      <c r="O107" s="4"/>
    </row>
    <row r="108" spans="4:15" ht="15.75" customHeight="1">
      <c r="D108" s="3"/>
      <c r="E108" s="4"/>
      <c r="G108" s="4"/>
      <c r="H108" s="5"/>
      <c r="I108" s="5"/>
      <c r="O108" s="4"/>
    </row>
    <row r="109" spans="4:15" ht="15.75" customHeight="1">
      <c r="D109" s="3"/>
      <c r="E109" s="4"/>
      <c r="G109" s="4"/>
      <c r="H109" s="5"/>
      <c r="I109" s="5"/>
      <c r="O109" s="4"/>
    </row>
    <row r="110" spans="4:15" ht="15.75" customHeight="1">
      <c r="D110" s="3"/>
      <c r="E110" s="4"/>
      <c r="G110" s="4"/>
      <c r="H110" s="5"/>
      <c r="I110" s="5"/>
      <c r="O110" s="4"/>
    </row>
    <row r="111" spans="4:15" ht="15.75" customHeight="1">
      <c r="D111" s="3"/>
      <c r="E111" s="4"/>
      <c r="G111" s="4"/>
      <c r="H111" s="5"/>
      <c r="I111" s="5"/>
      <c r="O111" s="4"/>
    </row>
    <row r="112" spans="4:15" ht="15.75" customHeight="1">
      <c r="D112" s="3"/>
      <c r="E112" s="4"/>
      <c r="G112" s="4"/>
      <c r="H112" s="5"/>
      <c r="I112" s="5"/>
      <c r="O112" s="4"/>
    </row>
    <row r="113" spans="4:15" ht="15.75" customHeight="1">
      <c r="D113" s="3"/>
      <c r="E113" s="4"/>
      <c r="G113" s="4"/>
      <c r="H113" s="5"/>
      <c r="I113" s="5"/>
      <c r="O113" s="4"/>
    </row>
    <row r="114" spans="4:15" ht="15.75" customHeight="1">
      <c r="D114" s="3"/>
      <c r="E114" s="4"/>
      <c r="G114" s="4"/>
      <c r="H114" s="5"/>
      <c r="I114" s="5"/>
      <c r="O114" s="4"/>
    </row>
    <row r="115" spans="4:15" ht="15.75" customHeight="1">
      <c r="D115" s="3"/>
      <c r="E115" s="4"/>
      <c r="G115" s="4"/>
      <c r="H115" s="5"/>
      <c r="I115" s="5"/>
      <c r="O115" s="4"/>
    </row>
    <row r="116" spans="4:15" ht="15.75" customHeight="1">
      <c r="D116" s="3"/>
      <c r="E116" s="4"/>
      <c r="G116" s="4"/>
      <c r="H116" s="5"/>
      <c r="I116" s="5"/>
      <c r="O116" s="4"/>
    </row>
    <row r="117" spans="4:15" ht="15.75" customHeight="1">
      <c r="D117" s="3"/>
      <c r="E117" s="4"/>
      <c r="G117" s="4"/>
      <c r="H117" s="5"/>
      <c r="I117" s="5"/>
      <c r="O117" s="4"/>
    </row>
    <row r="118" spans="4:15" ht="15.75" customHeight="1">
      <c r="D118" s="3"/>
      <c r="E118" s="4"/>
      <c r="G118" s="4"/>
      <c r="H118" s="5"/>
      <c r="I118" s="5"/>
      <c r="O118" s="4"/>
    </row>
    <row r="119" spans="4:15" ht="15.75" customHeight="1">
      <c r="D119" s="3"/>
      <c r="E119" s="4"/>
      <c r="G119" s="4"/>
      <c r="H119" s="5"/>
      <c r="I119" s="5"/>
      <c r="O119" s="4"/>
    </row>
    <row r="120" spans="4:15" ht="15.75" customHeight="1">
      <c r="D120" s="3"/>
      <c r="E120" s="4"/>
      <c r="G120" s="4"/>
      <c r="H120" s="5"/>
      <c r="I120" s="5"/>
      <c r="O120" s="4"/>
    </row>
    <row r="121" spans="4:15" ht="15.75" customHeight="1">
      <c r="D121" s="3"/>
      <c r="E121" s="4"/>
      <c r="G121" s="4"/>
      <c r="H121" s="5"/>
      <c r="I121" s="5"/>
      <c r="O121" s="4"/>
    </row>
    <row r="122" spans="4:15" ht="15.75" customHeight="1">
      <c r="D122" s="3"/>
      <c r="E122" s="4"/>
      <c r="G122" s="4"/>
      <c r="H122" s="5"/>
      <c r="I122" s="5"/>
      <c r="O122" s="4"/>
    </row>
    <row r="123" spans="4:15" ht="15.75" customHeight="1">
      <c r="D123" s="3"/>
      <c r="E123" s="4"/>
      <c r="G123" s="4"/>
      <c r="H123" s="5"/>
      <c r="I123" s="5"/>
      <c r="O123" s="4"/>
    </row>
    <row r="124" spans="4:15" ht="15.75" customHeight="1">
      <c r="D124" s="3"/>
      <c r="E124" s="4"/>
      <c r="G124" s="4"/>
      <c r="H124" s="5"/>
      <c r="I124" s="5"/>
      <c r="O124" s="4"/>
    </row>
    <row r="125" spans="4:15" ht="15.75" customHeight="1">
      <c r="D125" s="3"/>
      <c r="E125" s="4"/>
      <c r="G125" s="4"/>
      <c r="H125" s="5"/>
      <c r="I125" s="5"/>
      <c r="O125" s="4"/>
    </row>
    <row r="126" spans="4:15" ht="15.75" customHeight="1">
      <c r="D126" s="3"/>
      <c r="E126" s="4"/>
      <c r="G126" s="4"/>
      <c r="H126" s="5"/>
      <c r="I126" s="5"/>
      <c r="O126" s="4"/>
    </row>
    <row r="127" spans="4:15" ht="15.75" customHeight="1">
      <c r="D127" s="3"/>
      <c r="E127" s="4"/>
      <c r="G127" s="4"/>
      <c r="H127" s="5"/>
      <c r="I127" s="5"/>
      <c r="O127" s="4"/>
    </row>
    <row r="128" spans="4:15" ht="15.75" customHeight="1">
      <c r="D128" s="3"/>
      <c r="E128" s="4"/>
      <c r="G128" s="4"/>
      <c r="H128" s="5"/>
      <c r="I128" s="5"/>
      <c r="O128" s="4"/>
    </row>
    <row r="129" spans="4:15" ht="15.75" customHeight="1">
      <c r="D129" s="3"/>
      <c r="E129" s="4"/>
      <c r="G129" s="4"/>
      <c r="H129" s="5"/>
      <c r="I129" s="5"/>
      <c r="O129" s="4"/>
    </row>
    <row r="130" spans="4:15" ht="15.75" customHeight="1">
      <c r="D130" s="3"/>
      <c r="E130" s="4"/>
      <c r="G130" s="4"/>
      <c r="H130" s="5"/>
      <c r="I130" s="5"/>
      <c r="O130" s="4"/>
    </row>
    <row r="131" spans="4:15" ht="15.75" customHeight="1">
      <c r="D131" s="3"/>
      <c r="E131" s="4"/>
      <c r="G131" s="4"/>
      <c r="H131" s="5"/>
      <c r="I131" s="5"/>
      <c r="O131" s="4"/>
    </row>
    <row r="132" spans="4:15" ht="15.75" customHeight="1">
      <c r="D132" s="3"/>
      <c r="E132" s="4"/>
      <c r="G132" s="4"/>
      <c r="H132" s="5"/>
      <c r="I132" s="5"/>
      <c r="O132" s="4"/>
    </row>
    <row r="133" spans="4:15" ht="15.75" customHeight="1">
      <c r="D133" s="3"/>
      <c r="E133" s="4"/>
      <c r="G133" s="4"/>
      <c r="H133" s="5"/>
      <c r="I133" s="5"/>
      <c r="O133" s="4"/>
    </row>
    <row r="134" spans="4:15" ht="15.75" customHeight="1">
      <c r="D134" s="3"/>
      <c r="E134" s="4"/>
      <c r="G134" s="4"/>
      <c r="H134" s="5"/>
      <c r="I134" s="5"/>
      <c r="O134" s="4"/>
    </row>
    <row r="135" spans="4:15" ht="15.75" customHeight="1">
      <c r="D135" s="3"/>
      <c r="E135" s="4"/>
      <c r="G135" s="4"/>
      <c r="H135" s="5"/>
      <c r="I135" s="5"/>
      <c r="O135" s="4"/>
    </row>
    <row r="136" spans="4:15" ht="15.75" customHeight="1">
      <c r="D136" s="3"/>
      <c r="E136" s="4"/>
      <c r="G136" s="4"/>
      <c r="H136" s="5"/>
      <c r="I136" s="5"/>
      <c r="O136" s="4"/>
    </row>
    <row r="137" spans="4:15" ht="15.75" customHeight="1">
      <c r="D137" s="3"/>
      <c r="E137" s="4"/>
      <c r="G137" s="4"/>
      <c r="H137" s="5"/>
      <c r="I137" s="5"/>
      <c r="O137" s="4"/>
    </row>
    <row r="138" spans="4:15" ht="15.75" customHeight="1">
      <c r="D138" s="3"/>
      <c r="E138" s="4"/>
      <c r="G138" s="4"/>
      <c r="H138" s="5"/>
      <c r="I138" s="5"/>
      <c r="O138" s="4"/>
    </row>
    <row r="139" spans="4:15" ht="15.75" customHeight="1">
      <c r="D139" s="3"/>
      <c r="E139" s="4"/>
      <c r="G139" s="4"/>
      <c r="H139" s="5"/>
      <c r="I139" s="5"/>
      <c r="O139" s="4"/>
    </row>
    <row r="140" spans="4:15" ht="15.75" customHeight="1">
      <c r="D140" s="3"/>
      <c r="E140" s="4"/>
      <c r="G140" s="4"/>
      <c r="H140" s="5"/>
      <c r="I140" s="5"/>
      <c r="O140" s="4"/>
    </row>
    <row r="141" spans="4:15" ht="15.75" customHeight="1">
      <c r="D141" s="3"/>
      <c r="E141" s="4"/>
      <c r="G141" s="4"/>
      <c r="H141" s="5"/>
      <c r="I141" s="5"/>
      <c r="O141" s="4"/>
    </row>
    <row r="142" spans="4:15" ht="15.75" customHeight="1">
      <c r="D142" s="3"/>
      <c r="E142" s="4"/>
      <c r="G142" s="4"/>
      <c r="H142" s="5"/>
      <c r="I142" s="5"/>
      <c r="O142" s="4"/>
    </row>
    <row r="143" spans="4:15" ht="15.75" customHeight="1">
      <c r="D143" s="3"/>
      <c r="E143" s="4"/>
      <c r="G143" s="4"/>
      <c r="H143" s="5"/>
      <c r="I143" s="5"/>
      <c r="O143" s="4"/>
    </row>
    <row r="144" spans="4:15" ht="15.75" customHeight="1">
      <c r="D144" s="3"/>
      <c r="E144" s="4"/>
      <c r="G144" s="4"/>
      <c r="H144" s="5"/>
      <c r="I144" s="5"/>
      <c r="O144" s="4"/>
    </row>
    <row r="145" spans="4:15" ht="15.75" customHeight="1">
      <c r="D145" s="3"/>
      <c r="E145" s="4"/>
      <c r="G145" s="4"/>
      <c r="H145" s="5"/>
      <c r="I145" s="5"/>
      <c r="O145" s="4"/>
    </row>
    <row r="146" spans="4:15" ht="15.75" customHeight="1">
      <c r="D146" s="3"/>
      <c r="E146" s="4"/>
      <c r="G146" s="4"/>
      <c r="H146" s="5"/>
      <c r="I146" s="5"/>
      <c r="O146" s="4"/>
    </row>
    <row r="147" spans="4:15" ht="15.75" customHeight="1">
      <c r="D147" s="3"/>
      <c r="E147" s="4"/>
      <c r="G147" s="4"/>
      <c r="H147" s="5"/>
      <c r="I147" s="5"/>
      <c r="O147" s="4"/>
    </row>
    <row r="148" spans="4:15" ht="15.75" customHeight="1">
      <c r="D148" s="3"/>
      <c r="E148" s="4"/>
      <c r="G148" s="4"/>
      <c r="H148" s="5"/>
      <c r="I148" s="5"/>
      <c r="O148" s="4"/>
    </row>
    <row r="149" spans="4:15" ht="15.75" customHeight="1">
      <c r="D149" s="3"/>
      <c r="E149" s="4"/>
      <c r="G149" s="4"/>
      <c r="H149" s="5"/>
      <c r="I149" s="5"/>
      <c r="O149" s="4"/>
    </row>
    <row r="150" spans="4:15" ht="15.75" customHeight="1">
      <c r="D150" s="3"/>
      <c r="E150" s="4"/>
      <c r="G150" s="4"/>
      <c r="H150" s="5"/>
      <c r="I150" s="5"/>
      <c r="O150" s="4"/>
    </row>
    <row r="151" spans="4:15" ht="15.75" customHeight="1">
      <c r="D151" s="3"/>
      <c r="E151" s="4"/>
      <c r="G151" s="4"/>
      <c r="H151" s="5"/>
      <c r="I151" s="5"/>
      <c r="O151" s="4"/>
    </row>
    <row r="152" spans="4:15" ht="15.75" customHeight="1">
      <c r="D152" s="3"/>
      <c r="E152" s="4"/>
      <c r="G152" s="4"/>
      <c r="H152" s="5"/>
      <c r="I152" s="5"/>
      <c r="O152" s="4"/>
    </row>
    <row r="153" spans="4:15" ht="15.75" customHeight="1">
      <c r="D153" s="3"/>
      <c r="E153" s="4"/>
      <c r="G153" s="4"/>
      <c r="H153" s="5"/>
      <c r="I153" s="5"/>
      <c r="O153" s="4"/>
    </row>
    <row r="154" spans="4:15" ht="15.75" customHeight="1">
      <c r="D154" s="3"/>
      <c r="E154" s="4"/>
      <c r="G154" s="4"/>
      <c r="H154" s="5"/>
      <c r="I154" s="5"/>
      <c r="O154" s="4"/>
    </row>
    <row r="155" spans="4:15" ht="15.75" customHeight="1">
      <c r="D155" s="3"/>
      <c r="E155" s="4"/>
      <c r="G155" s="4"/>
      <c r="H155" s="5"/>
      <c r="I155" s="5"/>
      <c r="O155" s="4"/>
    </row>
    <row r="156" spans="4:15" ht="15.75" customHeight="1">
      <c r="D156" s="3"/>
      <c r="E156" s="4"/>
      <c r="G156" s="4"/>
      <c r="H156" s="5"/>
      <c r="I156" s="5"/>
      <c r="O156" s="4"/>
    </row>
    <row r="157" spans="4:15" ht="15.75" customHeight="1">
      <c r="D157" s="3"/>
      <c r="E157" s="4"/>
      <c r="G157" s="4"/>
      <c r="H157" s="5"/>
      <c r="I157" s="5"/>
      <c r="O157" s="4"/>
    </row>
    <row r="158" spans="4:15" ht="15.75" customHeight="1">
      <c r="D158" s="3"/>
      <c r="E158" s="4"/>
      <c r="G158" s="4"/>
      <c r="H158" s="5"/>
      <c r="I158" s="5"/>
      <c r="O158" s="4"/>
    </row>
    <row r="159" spans="4:15" ht="15.75" customHeight="1">
      <c r="D159" s="3"/>
      <c r="E159" s="4"/>
      <c r="G159" s="4"/>
      <c r="H159" s="5"/>
      <c r="I159" s="5"/>
      <c r="O159" s="4"/>
    </row>
    <row r="160" spans="4:15" ht="15.75" customHeight="1">
      <c r="D160" s="3"/>
      <c r="E160" s="4"/>
      <c r="G160" s="4"/>
      <c r="H160" s="5"/>
      <c r="I160" s="5"/>
      <c r="O160" s="4"/>
    </row>
    <row r="161" spans="4:15" ht="15.75" customHeight="1">
      <c r="D161" s="3"/>
      <c r="E161" s="4"/>
      <c r="G161" s="4"/>
      <c r="H161" s="5"/>
      <c r="I161" s="5"/>
      <c r="O161" s="4"/>
    </row>
    <row r="162" spans="4:15" ht="15.75" customHeight="1">
      <c r="D162" s="3"/>
      <c r="E162" s="4"/>
      <c r="G162" s="4"/>
      <c r="H162" s="5"/>
      <c r="I162" s="5"/>
      <c r="O162" s="4"/>
    </row>
    <row r="163" spans="4:15" ht="15.75" customHeight="1">
      <c r="D163" s="3"/>
      <c r="E163" s="4"/>
      <c r="G163" s="4"/>
      <c r="H163" s="5"/>
      <c r="I163" s="5"/>
      <c r="O163" s="4"/>
    </row>
    <row r="164" spans="4:15" ht="15.75" customHeight="1">
      <c r="D164" s="3"/>
      <c r="E164" s="4"/>
      <c r="G164" s="4"/>
      <c r="H164" s="5"/>
      <c r="I164" s="5"/>
      <c r="O164" s="4"/>
    </row>
    <row r="165" spans="4:15" ht="15.75" customHeight="1">
      <c r="D165" s="3"/>
      <c r="E165" s="4"/>
      <c r="G165" s="4"/>
      <c r="H165" s="5"/>
      <c r="I165" s="5"/>
      <c r="O165" s="4"/>
    </row>
    <row r="166" spans="4:15" ht="15.75" customHeight="1">
      <c r="D166" s="3"/>
      <c r="E166" s="4"/>
      <c r="G166" s="4"/>
      <c r="H166" s="5"/>
      <c r="I166" s="5"/>
      <c r="O166" s="4"/>
    </row>
    <row r="167" spans="4:15" ht="15.75" customHeight="1">
      <c r="D167" s="3"/>
      <c r="E167" s="4"/>
      <c r="G167" s="4"/>
      <c r="H167" s="5"/>
      <c r="I167" s="5"/>
      <c r="O167" s="4"/>
    </row>
    <row r="168" spans="4:15" ht="15.75" customHeight="1">
      <c r="D168" s="3"/>
      <c r="E168" s="4"/>
      <c r="G168" s="4"/>
      <c r="H168" s="5"/>
      <c r="I168" s="5"/>
      <c r="O168" s="4"/>
    </row>
    <row r="169" spans="4:15" ht="15.75" customHeight="1">
      <c r="D169" s="3"/>
      <c r="E169" s="4"/>
      <c r="G169" s="4"/>
      <c r="H169" s="5"/>
      <c r="I169" s="5"/>
      <c r="O169" s="4"/>
    </row>
    <row r="170" spans="4:15" ht="15.75" customHeight="1">
      <c r="D170" s="3"/>
      <c r="E170" s="4"/>
      <c r="G170" s="4"/>
      <c r="H170" s="5"/>
      <c r="I170" s="5"/>
      <c r="O170" s="4"/>
    </row>
    <row r="171" spans="4:15" ht="15.75" customHeight="1">
      <c r="D171" s="3"/>
      <c r="E171" s="4"/>
      <c r="G171" s="4"/>
      <c r="H171" s="5"/>
      <c r="I171" s="5"/>
      <c r="O171" s="4"/>
    </row>
    <row r="172" spans="4:15" ht="15.75" customHeight="1">
      <c r="D172" s="3"/>
      <c r="E172" s="4"/>
      <c r="G172" s="4"/>
      <c r="H172" s="5"/>
      <c r="I172" s="5"/>
      <c r="O172" s="4"/>
    </row>
    <row r="173" spans="4:15" ht="15.75" customHeight="1">
      <c r="D173" s="3"/>
      <c r="E173" s="4"/>
      <c r="G173" s="4"/>
      <c r="H173" s="5"/>
      <c r="I173" s="5"/>
      <c r="O173" s="4"/>
    </row>
    <row r="174" spans="4:15" ht="15.75" customHeight="1">
      <c r="D174" s="3"/>
      <c r="E174" s="4"/>
      <c r="G174" s="4"/>
      <c r="H174" s="5"/>
      <c r="I174" s="5"/>
      <c r="O174" s="4"/>
    </row>
    <row r="175" spans="4:15" ht="15.75" customHeight="1">
      <c r="D175" s="3"/>
      <c r="E175" s="4"/>
      <c r="G175" s="4"/>
      <c r="H175" s="5"/>
      <c r="I175" s="5"/>
      <c r="O175" s="4"/>
    </row>
    <row r="176" spans="4:15" ht="15.75" customHeight="1">
      <c r="D176" s="3"/>
      <c r="E176" s="4"/>
      <c r="G176" s="4"/>
      <c r="H176" s="5"/>
      <c r="I176" s="5"/>
      <c r="O176" s="4"/>
    </row>
    <row r="177" spans="4:15" ht="15.75" customHeight="1">
      <c r="D177" s="3"/>
      <c r="E177" s="4"/>
      <c r="G177" s="4"/>
      <c r="H177" s="5"/>
      <c r="I177" s="5"/>
      <c r="O177" s="4"/>
    </row>
    <row r="178" spans="4:15" ht="15.75" customHeight="1">
      <c r="D178" s="3"/>
      <c r="E178" s="4"/>
      <c r="G178" s="4"/>
      <c r="H178" s="5"/>
      <c r="I178" s="5"/>
      <c r="O178" s="4"/>
    </row>
    <row r="179" spans="4:15" ht="15.75" customHeight="1">
      <c r="D179" s="3"/>
      <c r="E179" s="4"/>
      <c r="G179" s="4"/>
      <c r="H179" s="5"/>
      <c r="I179" s="5"/>
      <c r="O179" s="4"/>
    </row>
    <row r="180" spans="4:15" ht="15.75" customHeight="1">
      <c r="D180" s="3"/>
      <c r="E180" s="4"/>
      <c r="G180" s="4"/>
      <c r="H180" s="5"/>
      <c r="I180" s="5"/>
      <c r="O180" s="4"/>
    </row>
    <row r="181" spans="4:15" ht="15.75" customHeight="1">
      <c r="D181" s="3"/>
      <c r="E181" s="4"/>
      <c r="G181" s="4"/>
      <c r="H181" s="5"/>
      <c r="I181" s="5"/>
      <c r="O181" s="4"/>
    </row>
    <row r="182" spans="4:15" ht="15.75" customHeight="1">
      <c r="D182" s="3"/>
      <c r="E182" s="4"/>
      <c r="G182" s="4"/>
      <c r="H182" s="5"/>
      <c r="I182" s="5"/>
      <c r="O182" s="4"/>
    </row>
    <row r="183" spans="4:15" ht="15.75" customHeight="1">
      <c r="D183" s="3"/>
      <c r="E183" s="4"/>
      <c r="G183" s="4"/>
      <c r="H183" s="5"/>
      <c r="I183" s="5"/>
      <c r="O183" s="4"/>
    </row>
    <row r="184" spans="4:15" ht="15.75" customHeight="1">
      <c r="D184" s="3"/>
      <c r="E184" s="4"/>
      <c r="G184" s="4"/>
      <c r="H184" s="5"/>
      <c r="I184" s="5"/>
      <c r="O184" s="4"/>
    </row>
    <row r="185" spans="4:15" ht="15.75" customHeight="1">
      <c r="D185" s="3"/>
      <c r="E185" s="4"/>
      <c r="G185" s="4"/>
      <c r="H185" s="5"/>
      <c r="I185" s="5"/>
      <c r="O185" s="4"/>
    </row>
    <row r="186" spans="4:15" ht="15.75" customHeight="1">
      <c r="D186" s="3"/>
      <c r="E186" s="4"/>
      <c r="G186" s="4"/>
      <c r="H186" s="5"/>
      <c r="I186" s="5"/>
      <c r="O186" s="4"/>
    </row>
    <row r="187" spans="4:15" ht="15.75" customHeight="1">
      <c r="D187" s="3"/>
      <c r="E187" s="4"/>
      <c r="G187" s="4"/>
      <c r="H187" s="5"/>
      <c r="I187" s="5"/>
      <c r="O187" s="4"/>
    </row>
    <row r="188" spans="4:15" ht="15.75" customHeight="1">
      <c r="D188" s="3"/>
      <c r="E188" s="4"/>
      <c r="G188" s="4"/>
      <c r="H188" s="5"/>
      <c r="I188" s="5"/>
      <c r="O188" s="4"/>
    </row>
    <row r="189" spans="4:15" ht="15.75" customHeight="1">
      <c r="D189" s="3"/>
      <c r="E189" s="4"/>
      <c r="G189" s="4"/>
      <c r="H189" s="5"/>
      <c r="I189" s="5"/>
      <c r="O189" s="4"/>
    </row>
    <row r="190" spans="4:15" ht="15.75" customHeight="1">
      <c r="D190" s="3"/>
      <c r="E190" s="4"/>
      <c r="G190" s="4"/>
      <c r="H190" s="5"/>
      <c r="I190" s="5"/>
      <c r="O190" s="4"/>
    </row>
    <row r="191" spans="4:15" ht="15.75" customHeight="1">
      <c r="D191" s="3"/>
      <c r="E191" s="4"/>
      <c r="G191" s="4"/>
      <c r="H191" s="5"/>
      <c r="I191" s="5"/>
      <c r="O191" s="4"/>
    </row>
    <row r="192" spans="4:15" ht="15.75" customHeight="1">
      <c r="D192" s="3"/>
      <c r="E192" s="4"/>
      <c r="G192" s="4"/>
      <c r="H192" s="5"/>
      <c r="I192" s="5"/>
      <c r="O192" s="4"/>
    </row>
    <row r="193" spans="4:15" ht="15.75" customHeight="1">
      <c r="D193" s="3"/>
      <c r="E193" s="4"/>
      <c r="G193" s="4"/>
      <c r="H193" s="5"/>
      <c r="I193" s="5"/>
      <c r="O193" s="4"/>
    </row>
    <row r="194" spans="4:15" ht="15.75" customHeight="1">
      <c r="D194" s="3"/>
      <c r="E194" s="4"/>
      <c r="G194" s="4"/>
      <c r="H194" s="5"/>
      <c r="I194" s="5"/>
      <c r="O194" s="4"/>
    </row>
    <row r="195" spans="4:15" ht="15.75" customHeight="1">
      <c r="D195" s="3"/>
      <c r="E195" s="4"/>
      <c r="G195" s="4"/>
      <c r="H195" s="5"/>
      <c r="I195" s="5"/>
      <c r="O195" s="4"/>
    </row>
    <row r="196" spans="4:15" ht="15.75" customHeight="1">
      <c r="D196" s="3"/>
      <c r="E196" s="4"/>
      <c r="G196" s="4"/>
      <c r="H196" s="5"/>
      <c r="I196" s="5"/>
      <c r="O196" s="4"/>
    </row>
    <row r="197" spans="4:15" ht="15.75" customHeight="1">
      <c r="D197" s="3"/>
      <c r="E197" s="4"/>
      <c r="G197" s="4"/>
      <c r="H197" s="5"/>
      <c r="I197" s="5"/>
      <c r="O197" s="4"/>
    </row>
    <row r="198" spans="4:15" ht="15.75" customHeight="1">
      <c r="D198" s="3"/>
      <c r="E198" s="4"/>
      <c r="G198" s="4"/>
      <c r="H198" s="5"/>
      <c r="I198" s="5"/>
      <c r="O198" s="4"/>
    </row>
    <row r="199" spans="4:15" ht="15.75" customHeight="1">
      <c r="D199" s="3"/>
      <c r="E199" s="4"/>
      <c r="G199" s="4"/>
      <c r="H199" s="5"/>
      <c r="I199" s="5"/>
      <c r="O199" s="4"/>
    </row>
    <row r="200" spans="4:15" ht="15.75" customHeight="1">
      <c r="D200" s="3"/>
      <c r="E200" s="4"/>
      <c r="G200" s="4"/>
      <c r="H200" s="5"/>
      <c r="I200" s="5"/>
      <c r="O200" s="4"/>
    </row>
    <row r="201" spans="4:15" ht="15.75" customHeight="1">
      <c r="D201" s="3"/>
      <c r="E201" s="4"/>
      <c r="G201" s="4"/>
      <c r="H201" s="5"/>
      <c r="I201" s="5"/>
      <c r="O201" s="4"/>
    </row>
    <row r="202" spans="4:15" ht="15.75" customHeight="1">
      <c r="D202" s="3"/>
      <c r="E202" s="4"/>
      <c r="G202" s="4"/>
      <c r="H202" s="5"/>
      <c r="I202" s="5"/>
      <c r="O202" s="4"/>
    </row>
    <row r="203" spans="4:15" ht="15.75" customHeight="1">
      <c r="D203" s="3"/>
      <c r="E203" s="4"/>
      <c r="G203" s="4"/>
      <c r="H203" s="5"/>
      <c r="I203" s="5"/>
      <c r="O203" s="4"/>
    </row>
    <row r="204" spans="4:15" ht="15.75" customHeight="1">
      <c r="D204" s="3"/>
      <c r="E204" s="4"/>
      <c r="G204" s="4"/>
      <c r="H204" s="5"/>
      <c r="I204" s="5"/>
      <c r="O204" s="4"/>
    </row>
    <row r="205" spans="4:15" ht="15.75" customHeight="1">
      <c r="D205" s="3"/>
      <c r="E205" s="4"/>
      <c r="G205" s="4"/>
      <c r="H205" s="5"/>
      <c r="I205" s="5"/>
      <c r="O205" s="4"/>
    </row>
    <row r="206" spans="4:15" ht="15.75" customHeight="1">
      <c r="D206" s="3"/>
      <c r="E206" s="4"/>
      <c r="G206" s="4"/>
      <c r="H206" s="5"/>
      <c r="I206" s="5"/>
      <c r="O206" s="4"/>
    </row>
    <row r="207" spans="4:15" ht="15.75" customHeight="1">
      <c r="D207" s="3"/>
      <c r="E207" s="4"/>
      <c r="G207" s="4"/>
      <c r="H207" s="5"/>
      <c r="I207" s="5"/>
      <c r="O207" s="4"/>
    </row>
    <row r="208" spans="4:15" ht="15.75" customHeight="1">
      <c r="D208" s="3"/>
      <c r="E208" s="4"/>
      <c r="G208" s="4"/>
      <c r="H208" s="5"/>
      <c r="I208" s="5"/>
      <c r="O208" s="4"/>
    </row>
    <row r="209" spans="4:15" ht="15.75" customHeight="1">
      <c r="D209" s="3"/>
      <c r="E209" s="4"/>
      <c r="G209" s="4"/>
      <c r="H209" s="5"/>
      <c r="I209" s="5"/>
      <c r="O209" s="4"/>
    </row>
    <row r="210" spans="4:15" ht="15.75" customHeight="1">
      <c r="D210" s="3"/>
      <c r="E210" s="4"/>
      <c r="G210" s="4"/>
      <c r="H210" s="5"/>
      <c r="I210" s="5"/>
      <c r="O210" s="4"/>
    </row>
    <row r="211" spans="4:15" ht="15.75" customHeight="1">
      <c r="D211" s="3"/>
      <c r="E211" s="4"/>
      <c r="G211" s="4"/>
      <c r="H211" s="5"/>
      <c r="I211" s="5"/>
      <c r="O211" s="4"/>
    </row>
    <row r="212" spans="4:15" ht="15.75" customHeight="1">
      <c r="D212" s="3"/>
      <c r="E212" s="4"/>
      <c r="G212" s="4"/>
      <c r="H212" s="5"/>
      <c r="I212" s="5"/>
      <c r="O212" s="4"/>
    </row>
    <row r="213" spans="4:15" ht="15.75" customHeight="1">
      <c r="D213" s="3"/>
      <c r="E213" s="4"/>
      <c r="G213" s="4"/>
      <c r="H213" s="5"/>
      <c r="I213" s="5"/>
      <c r="O213" s="4"/>
    </row>
    <row r="214" spans="4:15" ht="15.75" customHeight="1">
      <c r="D214" s="3"/>
      <c r="E214" s="4"/>
      <c r="G214" s="4"/>
      <c r="H214" s="5"/>
      <c r="I214" s="5"/>
      <c r="O214" s="4"/>
    </row>
    <row r="215" spans="4:15" ht="15.75" customHeight="1">
      <c r="D215" s="3"/>
      <c r="E215" s="4"/>
      <c r="G215" s="4"/>
      <c r="H215" s="5"/>
      <c r="I215" s="5"/>
      <c r="O215" s="4"/>
    </row>
    <row r="216" spans="4:15" ht="15.75" customHeight="1">
      <c r="D216" s="3"/>
      <c r="E216" s="4"/>
      <c r="G216" s="4"/>
      <c r="H216" s="5"/>
      <c r="I216" s="5"/>
      <c r="O216" s="4"/>
    </row>
    <row r="217" spans="4:15" ht="15.75" customHeight="1">
      <c r="D217" s="3"/>
      <c r="E217" s="4"/>
      <c r="G217" s="4"/>
      <c r="H217" s="5"/>
      <c r="I217" s="5"/>
      <c r="O217" s="4"/>
    </row>
    <row r="218" spans="4:15" ht="15.75" customHeight="1">
      <c r="D218" s="3"/>
      <c r="E218" s="4"/>
      <c r="G218" s="4"/>
      <c r="H218" s="5"/>
      <c r="I218" s="5"/>
      <c r="O218" s="4"/>
    </row>
    <row r="219" spans="4:15" ht="15.75" customHeight="1">
      <c r="D219" s="3"/>
      <c r="E219" s="4"/>
      <c r="G219" s="4"/>
      <c r="H219" s="5"/>
      <c r="I219" s="5"/>
      <c r="O219" s="4"/>
    </row>
    <row r="220" spans="4:15" ht="15.75" customHeight="1">
      <c r="D220" s="3"/>
      <c r="E220" s="4"/>
      <c r="G220" s="4"/>
      <c r="H220" s="5"/>
      <c r="I220" s="5"/>
      <c r="O220" s="4"/>
    </row>
    <row r="221" spans="4:15" ht="15.75" customHeight="1">
      <c r="D221" s="3"/>
      <c r="E221" s="4"/>
      <c r="G221" s="4"/>
      <c r="H221" s="5"/>
      <c r="I221" s="5"/>
      <c r="O221" s="4"/>
    </row>
    <row r="222" spans="4:15" ht="15.75" customHeight="1">
      <c r="D222" s="3"/>
      <c r="E222" s="4"/>
      <c r="G222" s="4"/>
      <c r="H222" s="5"/>
      <c r="I222" s="5"/>
      <c r="O222" s="4"/>
    </row>
    <row r="223" spans="4:15" ht="15.75" customHeight="1">
      <c r="D223" s="3"/>
      <c r="E223" s="4"/>
      <c r="G223" s="4"/>
      <c r="H223" s="5"/>
      <c r="I223" s="5"/>
      <c r="O223" s="4"/>
    </row>
    <row r="224" spans="4:15" ht="15.75" customHeight="1">
      <c r="D224" s="3"/>
      <c r="E224" s="4"/>
      <c r="G224" s="4"/>
      <c r="H224" s="5"/>
      <c r="I224" s="5"/>
      <c r="O224" s="4"/>
    </row>
    <row r="225" spans="4:15" ht="15.75" customHeight="1">
      <c r="D225" s="3"/>
      <c r="E225" s="4"/>
      <c r="G225" s="4"/>
      <c r="H225" s="5"/>
      <c r="I225" s="5"/>
      <c r="O225" s="4"/>
    </row>
    <row r="226" spans="4:15" ht="15.75" customHeight="1">
      <c r="D226" s="3"/>
      <c r="E226" s="4"/>
      <c r="G226" s="4"/>
      <c r="H226" s="5"/>
      <c r="I226" s="5"/>
      <c r="O226" s="4"/>
    </row>
    <row r="227" spans="4:15" ht="15.75" customHeight="1">
      <c r="D227" s="3"/>
      <c r="E227" s="4"/>
      <c r="G227" s="4"/>
      <c r="H227" s="5"/>
      <c r="I227" s="5"/>
      <c r="O227" s="4"/>
    </row>
    <row r="228" spans="4:15" ht="15.75" customHeight="1">
      <c r="D228" s="3"/>
      <c r="E228" s="4"/>
      <c r="G228" s="4"/>
      <c r="H228" s="5"/>
      <c r="I228" s="5"/>
      <c r="O228" s="4"/>
    </row>
    <row r="229" spans="4:15" ht="15.75" customHeight="1">
      <c r="D229" s="3"/>
      <c r="E229" s="4"/>
      <c r="G229" s="4"/>
      <c r="H229" s="5"/>
      <c r="I229" s="5"/>
      <c r="O229" s="4"/>
    </row>
    <row r="230" spans="4:15" ht="15.75" customHeight="1">
      <c r="D230" s="3"/>
      <c r="E230" s="4"/>
      <c r="G230" s="4"/>
      <c r="H230" s="5"/>
      <c r="I230" s="5"/>
      <c r="O230" s="4"/>
    </row>
    <row r="231" spans="4:15" ht="15.75" customHeight="1">
      <c r="D231" s="3"/>
      <c r="E231" s="4"/>
      <c r="G231" s="4"/>
      <c r="H231" s="5"/>
      <c r="I231" s="5"/>
      <c r="O231" s="4"/>
    </row>
    <row r="232" spans="4:15" ht="15.75" customHeight="1">
      <c r="D232" s="3"/>
      <c r="E232" s="4"/>
      <c r="G232" s="4"/>
      <c r="H232" s="5"/>
      <c r="I232" s="5"/>
      <c r="O232" s="4"/>
    </row>
    <row r="233" spans="4:15" ht="15.75" customHeight="1">
      <c r="D233" s="3"/>
      <c r="E233" s="4"/>
      <c r="G233" s="4"/>
      <c r="H233" s="5"/>
      <c r="I233" s="5"/>
      <c r="O233" s="4"/>
    </row>
    <row r="234" spans="4:15" ht="15.75" customHeight="1">
      <c r="D234" s="3"/>
      <c r="E234" s="4"/>
      <c r="G234" s="4"/>
      <c r="H234" s="5"/>
      <c r="I234" s="5"/>
      <c r="O234" s="4"/>
    </row>
    <row r="235" spans="4:15" ht="15.75" customHeight="1">
      <c r="D235" s="3"/>
      <c r="E235" s="4"/>
      <c r="G235" s="4"/>
      <c r="H235" s="5"/>
      <c r="I235" s="5"/>
      <c r="O235" s="4"/>
    </row>
    <row r="236" spans="4:15" ht="15.75" customHeight="1">
      <c r="D236" s="3"/>
      <c r="E236" s="4"/>
      <c r="G236" s="4"/>
      <c r="H236" s="5"/>
      <c r="I236" s="5"/>
      <c r="O236" s="4"/>
    </row>
    <row r="237" spans="4:15" ht="15.75" customHeight="1">
      <c r="D237" s="3"/>
      <c r="E237" s="4"/>
      <c r="G237" s="4"/>
      <c r="H237" s="5"/>
      <c r="I237" s="5"/>
      <c r="O237" s="4"/>
    </row>
    <row r="238" spans="4:15" ht="15.75" customHeight="1">
      <c r="D238" s="3"/>
      <c r="E238" s="4"/>
      <c r="G238" s="4"/>
      <c r="H238" s="5"/>
      <c r="I238" s="5"/>
      <c r="O238" s="4"/>
    </row>
    <row r="239" spans="4:15" ht="15.75" customHeight="1">
      <c r="D239" s="3"/>
      <c r="E239" s="4"/>
      <c r="G239" s="4"/>
      <c r="H239" s="5"/>
      <c r="I239" s="5"/>
      <c r="O239" s="4"/>
    </row>
    <row r="240" spans="4:15" ht="15.75" customHeight="1">
      <c r="D240" s="3"/>
      <c r="E240" s="4"/>
      <c r="G240" s="4"/>
      <c r="H240" s="5"/>
      <c r="I240" s="5"/>
      <c r="O240" s="4"/>
    </row>
    <row r="241" spans="4:15" ht="15.75" customHeight="1">
      <c r="D241" s="3"/>
      <c r="E241" s="4"/>
      <c r="G241" s="4"/>
      <c r="H241" s="5"/>
      <c r="I241" s="5"/>
      <c r="O241" s="4"/>
    </row>
    <row r="242" spans="4:15" ht="15.75" customHeight="1">
      <c r="D242" s="3"/>
      <c r="E242" s="4"/>
      <c r="G242" s="4"/>
      <c r="H242" s="5"/>
      <c r="I242" s="5"/>
      <c r="O242" s="4"/>
    </row>
    <row r="243" spans="4:15" ht="15.75" customHeight="1">
      <c r="D243" s="3"/>
      <c r="E243" s="4"/>
      <c r="G243" s="4"/>
      <c r="H243" s="5"/>
      <c r="I243" s="5"/>
      <c r="O243" s="4"/>
    </row>
    <row r="244" spans="4:15" ht="15.75" customHeight="1">
      <c r="D244" s="3"/>
      <c r="E244" s="4"/>
      <c r="G244" s="4"/>
      <c r="H244" s="5"/>
      <c r="I244" s="5"/>
      <c r="O244" s="4"/>
    </row>
    <row r="245" spans="4:15" ht="15.75" customHeight="1">
      <c r="D245" s="3"/>
      <c r="E245" s="4"/>
      <c r="G245" s="4"/>
      <c r="H245" s="5"/>
      <c r="I245" s="5"/>
      <c r="O245" s="4"/>
    </row>
    <row r="246" spans="4:15" ht="15.75" customHeight="1">
      <c r="D246" s="3"/>
      <c r="E246" s="4"/>
      <c r="G246" s="4"/>
      <c r="H246" s="5"/>
      <c r="I246" s="5"/>
      <c r="O246" s="4"/>
    </row>
    <row r="247" spans="4:15" ht="15.75" customHeight="1">
      <c r="D247" s="3"/>
      <c r="E247" s="4"/>
      <c r="G247" s="4"/>
      <c r="H247" s="5"/>
      <c r="I247" s="5"/>
      <c r="O247" s="4"/>
    </row>
    <row r="248" spans="4:15" ht="15.75" customHeight="1">
      <c r="D248" s="3"/>
      <c r="E248" s="4"/>
      <c r="G248" s="4"/>
      <c r="H248" s="5"/>
      <c r="I248" s="5"/>
      <c r="O248" s="4"/>
    </row>
    <row r="249" spans="4:15" ht="15.75" customHeight="1">
      <c r="D249" s="3"/>
      <c r="E249" s="4"/>
      <c r="G249" s="4"/>
      <c r="H249" s="5"/>
      <c r="I249" s="5"/>
      <c r="O249" s="4"/>
    </row>
    <row r="250" spans="4:15" ht="15.75" customHeight="1">
      <c r="D250" s="3"/>
      <c r="E250" s="4"/>
      <c r="G250" s="4"/>
      <c r="H250" s="5"/>
      <c r="I250" s="5"/>
      <c r="O250" s="4"/>
    </row>
    <row r="251" spans="4:15" ht="15.75" customHeight="1">
      <c r="D251" s="3"/>
      <c r="E251" s="4"/>
      <c r="G251" s="4"/>
      <c r="H251" s="5"/>
      <c r="I251" s="5"/>
      <c r="O251" s="4"/>
    </row>
    <row r="252" spans="4:15" ht="15.75" customHeight="1">
      <c r="D252" s="3"/>
      <c r="E252" s="4"/>
      <c r="G252" s="4"/>
      <c r="H252" s="5"/>
      <c r="I252" s="5"/>
      <c r="O252" s="4"/>
    </row>
    <row r="253" spans="4:15" ht="15.75" customHeight="1">
      <c r="D253" s="3"/>
      <c r="E253" s="4"/>
      <c r="G253" s="4"/>
      <c r="H253" s="5"/>
      <c r="I253" s="5"/>
      <c r="O253" s="4"/>
    </row>
    <row r="254" spans="4:15" ht="15.75" customHeight="1">
      <c r="D254" s="3"/>
      <c r="E254" s="4"/>
      <c r="G254" s="4"/>
      <c r="H254" s="5"/>
      <c r="I254" s="5"/>
      <c r="O254" s="4"/>
    </row>
    <row r="255" spans="4:15" ht="15.75" customHeight="1">
      <c r="D255" s="3"/>
      <c r="E255" s="4"/>
      <c r="G255" s="4"/>
      <c r="H255" s="5"/>
      <c r="I255" s="5"/>
      <c r="O255" s="4"/>
    </row>
    <row r="256" spans="4:15" ht="15.75" customHeight="1">
      <c r="D256" s="3"/>
      <c r="E256" s="4"/>
      <c r="G256" s="4"/>
      <c r="H256" s="5"/>
      <c r="I256" s="5"/>
      <c r="O256" s="4"/>
    </row>
    <row r="257" spans="4:15" ht="15.75" customHeight="1">
      <c r="D257" s="3"/>
      <c r="E257" s="4"/>
      <c r="G257" s="4"/>
      <c r="H257" s="5"/>
      <c r="I257" s="5"/>
      <c r="O257" s="4"/>
    </row>
    <row r="258" spans="4:15" ht="15.75" customHeight="1">
      <c r="D258" s="3"/>
      <c r="E258" s="4"/>
      <c r="G258" s="4"/>
      <c r="H258" s="5"/>
      <c r="I258" s="5"/>
      <c r="O258" s="4"/>
    </row>
    <row r="259" spans="4:15" ht="15.75" customHeight="1">
      <c r="D259" s="3"/>
      <c r="E259" s="4"/>
      <c r="G259" s="4"/>
      <c r="H259" s="5"/>
      <c r="I259" s="5"/>
      <c r="O259" s="4"/>
    </row>
    <row r="260" spans="4:15" ht="15.75" customHeight="1">
      <c r="D260" s="3"/>
      <c r="E260" s="4"/>
      <c r="G260" s="4"/>
      <c r="H260" s="5"/>
      <c r="I260" s="5"/>
      <c r="O260" s="4"/>
    </row>
    <row r="261" spans="4:15" ht="15.75" customHeight="1">
      <c r="D261" s="3"/>
      <c r="E261" s="4"/>
      <c r="G261" s="4"/>
      <c r="H261" s="5"/>
      <c r="I261" s="5"/>
      <c r="O261" s="4"/>
    </row>
    <row r="262" spans="4:15" ht="15.75" customHeight="1">
      <c r="D262" s="3"/>
      <c r="E262" s="4"/>
      <c r="G262" s="4"/>
      <c r="H262" s="5"/>
      <c r="I262" s="5"/>
      <c r="O262" s="4"/>
    </row>
    <row r="263" spans="4:15" ht="15.75" customHeight="1">
      <c r="D263" s="3"/>
      <c r="E263" s="4"/>
      <c r="G263" s="4"/>
      <c r="H263" s="5"/>
      <c r="I263" s="5"/>
      <c r="O263" s="4"/>
    </row>
    <row r="264" spans="4:15" ht="15.75" customHeight="1">
      <c r="D264" s="3"/>
      <c r="E264" s="4"/>
      <c r="G264" s="4"/>
      <c r="H264" s="5"/>
      <c r="I264" s="5"/>
      <c r="O264" s="4"/>
    </row>
    <row r="265" spans="4:15" ht="15.75" customHeight="1">
      <c r="D265" s="3"/>
      <c r="E265" s="4"/>
      <c r="G265" s="4"/>
      <c r="H265" s="5"/>
      <c r="I265" s="5"/>
      <c r="O265" s="4"/>
    </row>
    <row r="266" spans="4:15" ht="15.75" customHeight="1">
      <c r="D266" s="3"/>
      <c r="E266" s="4"/>
      <c r="G266" s="4"/>
      <c r="H266" s="5"/>
      <c r="I266" s="5"/>
      <c r="O266" s="4"/>
    </row>
    <row r="267" spans="4:15" ht="15.75" customHeight="1">
      <c r="D267" s="3"/>
      <c r="E267" s="4"/>
      <c r="G267" s="4"/>
      <c r="H267" s="5"/>
      <c r="I267" s="5"/>
      <c r="O267" s="4"/>
    </row>
    <row r="268" spans="4:15" ht="15.75" customHeight="1">
      <c r="D268" s="5"/>
      <c r="H268" s="5"/>
      <c r="I268" s="5"/>
    </row>
    <row r="269" spans="4:15" ht="15.75" customHeight="1">
      <c r="D269" s="5"/>
      <c r="H269" s="5"/>
      <c r="I269" s="5"/>
    </row>
    <row r="270" spans="4:15" ht="15.75" customHeight="1">
      <c r="D270" s="5"/>
      <c r="H270" s="5"/>
      <c r="I270" s="5"/>
    </row>
    <row r="271" spans="4:15" ht="15.75" customHeight="1">
      <c r="D271" s="5"/>
      <c r="H271" s="5"/>
      <c r="I271" s="5"/>
    </row>
    <row r="272" spans="4:15" ht="15.75" customHeight="1">
      <c r="D272" s="5"/>
      <c r="H272" s="5"/>
      <c r="I272" s="5"/>
    </row>
    <row r="273" spans="4:9" ht="15.75" customHeight="1">
      <c r="D273" s="5"/>
      <c r="H273" s="5"/>
      <c r="I273" s="5"/>
    </row>
    <row r="274" spans="4:9" ht="15.75" customHeight="1">
      <c r="D274" s="5"/>
      <c r="H274" s="5"/>
      <c r="I274" s="5"/>
    </row>
    <row r="275" spans="4:9" ht="15.75" customHeight="1">
      <c r="D275" s="5"/>
      <c r="H275" s="5"/>
      <c r="I275" s="5"/>
    </row>
    <row r="276" spans="4:9" ht="15.75" customHeight="1">
      <c r="D276" s="5"/>
      <c r="H276" s="5"/>
      <c r="I276" s="5"/>
    </row>
    <row r="277" spans="4:9" ht="15.75" customHeight="1">
      <c r="D277" s="5"/>
      <c r="H277" s="5"/>
      <c r="I277" s="5"/>
    </row>
    <row r="278" spans="4:9" ht="15.75" customHeight="1">
      <c r="D278" s="5"/>
      <c r="H278" s="5"/>
      <c r="I278" s="5"/>
    </row>
    <row r="279" spans="4:9" ht="15.75" customHeight="1">
      <c r="D279" s="5"/>
      <c r="H279" s="5"/>
      <c r="I279" s="5"/>
    </row>
    <row r="280" spans="4:9" ht="15.75" customHeight="1">
      <c r="D280" s="5"/>
      <c r="H280" s="5"/>
      <c r="I280" s="5"/>
    </row>
    <row r="281" spans="4:9" ht="15.75" customHeight="1">
      <c r="D281" s="5"/>
      <c r="H281" s="5"/>
      <c r="I281" s="5"/>
    </row>
    <row r="282" spans="4:9" ht="15.75" customHeight="1">
      <c r="D282" s="5"/>
      <c r="H282" s="5"/>
      <c r="I282" s="5"/>
    </row>
    <row r="283" spans="4:9" ht="15.75" customHeight="1">
      <c r="D283" s="5"/>
      <c r="H283" s="5"/>
      <c r="I283" s="5"/>
    </row>
    <row r="284" spans="4:9" ht="15.75" customHeight="1">
      <c r="D284" s="5"/>
      <c r="H284" s="5"/>
      <c r="I284" s="5"/>
    </row>
    <row r="285" spans="4:9" ht="15.75" customHeight="1">
      <c r="D285" s="5"/>
      <c r="H285" s="5"/>
      <c r="I285" s="5"/>
    </row>
    <row r="286" spans="4:9" ht="15.75" customHeight="1">
      <c r="D286" s="5"/>
      <c r="H286" s="5"/>
      <c r="I286" s="5"/>
    </row>
    <row r="287" spans="4:9" ht="15.75" customHeight="1">
      <c r="D287" s="5"/>
      <c r="H287" s="5"/>
      <c r="I287" s="5"/>
    </row>
    <row r="288" spans="4:9" ht="15.75" customHeight="1">
      <c r="D288" s="5"/>
      <c r="H288" s="5"/>
      <c r="I288" s="5"/>
    </row>
    <row r="289" spans="4:9" ht="15.75" customHeight="1">
      <c r="D289" s="5"/>
      <c r="H289" s="5"/>
      <c r="I289" s="5"/>
    </row>
    <row r="290" spans="4:9" ht="15.75" customHeight="1">
      <c r="D290" s="5"/>
      <c r="H290" s="5"/>
      <c r="I290" s="5"/>
    </row>
    <row r="291" spans="4:9" ht="15.75" customHeight="1">
      <c r="D291" s="5"/>
      <c r="H291" s="5"/>
      <c r="I291" s="5"/>
    </row>
    <row r="292" spans="4:9" ht="15.75" customHeight="1">
      <c r="D292" s="5"/>
      <c r="H292" s="5"/>
      <c r="I292" s="5"/>
    </row>
    <row r="293" spans="4:9" ht="15.75" customHeight="1">
      <c r="D293" s="5"/>
      <c r="H293" s="5"/>
      <c r="I293" s="5"/>
    </row>
    <row r="294" spans="4:9" ht="15.75" customHeight="1">
      <c r="D294" s="5"/>
      <c r="H294" s="5"/>
      <c r="I294" s="5"/>
    </row>
    <row r="295" spans="4:9" ht="15.75" customHeight="1">
      <c r="D295" s="5"/>
      <c r="H295" s="5"/>
      <c r="I295" s="5"/>
    </row>
    <row r="296" spans="4:9" ht="15.75" customHeight="1">
      <c r="D296" s="5"/>
      <c r="H296" s="5"/>
      <c r="I296" s="5"/>
    </row>
    <row r="297" spans="4:9" ht="15.75" customHeight="1">
      <c r="D297" s="5"/>
      <c r="H297" s="5"/>
      <c r="I297" s="5"/>
    </row>
    <row r="298" spans="4:9" ht="15.75" customHeight="1">
      <c r="D298" s="5"/>
      <c r="H298" s="5"/>
      <c r="I298" s="5"/>
    </row>
    <row r="299" spans="4:9" ht="15.75" customHeight="1">
      <c r="D299" s="5"/>
      <c r="H299" s="5"/>
      <c r="I299" s="5"/>
    </row>
    <row r="300" spans="4:9" ht="15.75" customHeight="1">
      <c r="D300" s="5"/>
      <c r="H300" s="5"/>
      <c r="I300" s="5"/>
    </row>
    <row r="301" spans="4:9" ht="15.75" customHeight="1">
      <c r="D301" s="5"/>
      <c r="H301" s="5"/>
      <c r="I301" s="5"/>
    </row>
    <row r="302" spans="4:9" ht="15.75" customHeight="1">
      <c r="D302" s="5"/>
      <c r="H302" s="5"/>
      <c r="I302" s="5"/>
    </row>
    <row r="303" spans="4:9" ht="15.75" customHeight="1">
      <c r="D303" s="5"/>
      <c r="H303" s="5"/>
      <c r="I303" s="5"/>
    </row>
    <row r="304" spans="4:9" ht="15.75" customHeight="1">
      <c r="D304" s="5"/>
      <c r="H304" s="5"/>
      <c r="I304" s="5"/>
    </row>
    <row r="305" spans="4:9" ht="15.75" customHeight="1">
      <c r="D305" s="5"/>
      <c r="H305" s="5"/>
      <c r="I305" s="5"/>
    </row>
    <row r="306" spans="4:9" ht="15.75" customHeight="1">
      <c r="D306" s="5"/>
      <c r="H306" s="5"/>
      <c r="I306" s="5"/>
    </row>
    <row r="307" spans="4:9" ht="15.75" customHeight="1">
      <c r="D307" s="5"/>
      <c r="H307" s="5"/>
      <c r="I307" s="5"/>
    </row>
    <row r="308" spans="4:9" ht="15.75" customHeight="1">
      <c r="D308" s="5"/>
      <c r="H308" s="5"/>
      <c r="I308" s="5"/>
    </row>
    <row r="309" spans="4:9" ht="15.75" customHeight="1">
      <c r="D309" s="5"/>
      <c r="H309" s="5"/>
      <c r="I309" s="5"/>
    </row>
    <row r="310" spans="4:9" ht="15.75" customHeight="1">
      <c r="D310" s="5"/>
      <c r="H310" s="5"/>
      <c r="I310" s="5"/>
    </row>
    <row r="311" spans="4:9" ht="15.75" customHeight="1">
      <c r="D311" s="5"/>
      <c r="H311" s="5"/>
      <c r="I311" s="5"/>
    </row>
    <row r="312" spans="4:9" ht="15.75" customHeight="1">
      <c r="D312" s="5"/>
      <c r="H312" s="5"/>
      <c r="I312" s="5"/>
    </row>
    <row r="313" spans="4:9" ht="15.75" customHeight="1">
      <c r="D313" s="5"/>
      <c r="H313" s="5"/>
      <c r="I313" s="5"/>
    </row>
    <row r="314" spans="4:9" ht="15.75" customHeight="1">
      <c r="D314" s="5"/>
      <c r="H314" s="5"/>
      <c r="I314" s="5"/>
    </row>
    <row r="315" spans="4:9" ht="15.75" customHeight="1">
      <c r="D315" s="5"/>
      <c r="H315" s="5"/>
      <c r="I315" s="5"/>
    </row>
    <row r="316" spans="4:9" ht="15.75" customHeight="1">
      <c r="D316" s="5"/>
      <c r="H316" s="5"/>
      <c r="I316" s="5"/>
    </row>
    <row r="317" spans="4:9" ht="15.75" customHeight="1">
      <c r="D317" s="5"/>
      <c r="H317" s="5"/>
      <c r="I317" s="5"/>
    </row>
    <row r="318" spans="4:9" ht="15.75" customHeight="1">
      <c r="D318" s="5"/>
      <c r="H318" s="5"/>
      <c r="I318" s="5"/>
    </row>
    <row r="319" spans="4:9" ht="15.75" customHeight="1">
      <c r="D319" s="5"/>
      <c r="H319" s="5"/>
      <c r="I319" s="5"/>
    </row>
    <row r="320" spans="4:9" ht="15.75" customHeight="1">
      <c r="D320" s="5"/>
      <c r="H320" s="5"/>
      <c r="I320" s="5"/>
    </row>
    <row r="321" spans="4:9" ht="15.75" customHeight="1">
      <c r="D321" s="5"/>
      <c r="H321" s="5"/>
      <c r="I321" s="5"/>
    </row>
    <row r="322" spans="4:9" ht="15.75" customHeight="1">
      <c r="D322" s="5"/>
      <c r="H322" s="5"/>
      <c r="I322" s="5"/>
    </row>
    <row r="323" spans="4:9" ht="15.75" customHeight="1">
      <c r="D323" s="5"/>
      <c r="H323" s="5"/>
      <c r="I323" s="5"/>
    </row>
    <row r="324" spans="4:9" ht="15.75" customHeight="1">
      <c r="D324" s="5"/>
      <c r="H324" s="5"/>
      <c r="I324" s="5"/>
    </row>
    <row r="325" spans="4:9" ht="15.75" customHeight="1">
      <c r="D325" s="5"/>
      <c r="H325" s="5"/>
      <c r="I325" s="5"/>
    </row>
    <row r="326" spans="4:9" ht="15.75" customHeight="1">
      <c r="D326" s="5"/>
      <c r="H326" s="5"/>
      <c r="I326" s="5"/>
    </row>
    <row r="327" spans="4:9" ht="15.75" customHeight="1">
      <c r="D327" s="5"/>
      <c r="H327" s="5"/>
      <c r="I327" s="5"/>
    </row>
    <row r="328" spans="4:9" ht="15.75" customHeight="1">
      <c r="D328" s="5"/>
      <c r="H328" s="5"/>
      <c r="I328" s="5"/>
    </row>
    <row r="329" spans="4:9" ht="15.75" customHeight="1">
      <c r="D329" s="5"/>
      <c r="H329" s="5"/>
      <c r="I329" s="5"/>
    </row>
    <row r="330" spans="4:9" ht="15.75" customHeight="1">
      <c r="D330" s="5"/>
      <c r="H330" s="5"/>
      <c r="I330" s="5"/>
    </row>
    <row r="331" spans="4:9" ht="15.75" customHeight="1">
      <c r="D331" s="5"/>
      <c r="H331" s="5"/>
      <c r="I331" s="5"/>
    </row>
    <row r="332" spans="4:9" ht="15.75" customHeight="1">
      <c r="D332" s="5"/>
      <c r="H332" s="5"/>
      <c r="I332" s="5"/>
    </row>
    <row r="333" spans="4:9" ht="15.75" customHeight="1">
      <c r="D333" s="5"/>
      <c r="H333" s="5"/>
      <c r="I333" s="5"/>
    </row>
    <row r="334" spans="4:9" ht="15.75" customHeight="1">
      <c r="D334" s="5"/>
      <c r="H334" s="5"/>
      <c r="I334" s="5"/>
    </row>
    <row r="335" spans="4:9" ht="15.75" customHeight="1">
      <c r="D335" s="5"/>
      <c r="H335" s="5"/>
      <c r="I335" s="5"/>
    </row>
    <row r="336" spans="4:9" ht="15.75" customHeight="1">
      <c r="D336" s="5"/>
      <c r="H336" s="5"/>
      <c r="I336" s="5"/>
    </row>
    <row r="337" spans="4:9" ht="15.75" customHeight="1">
      <c r="D337" s="5"/>
      <c r="H337" s="5"/>
      <c r="I337" s="5"/>
    </row>
    <row r="338" spans="4:9" ht="15.75" customHeight="1">
      <c r="D338" s="5"/>
      <c r="H338" s="5"/>
      <c r="I338" s="5"/>
    </row>
    <row r="339" spans="4:9" ht="15.75" customHeight="1">
      <c r="D339" s="5"/>
      <c r="H339" s="5"/>
      <c r="I339" s="5"/>
    </row>
    <row r="340" spans="4:9" ht="15.75" customHeight="1">
      <c r="D340" s="5"/>
      <c r="H340" s="5"/>
      <c r="I340" s="5"/>
    </row>
    <row r="341" spans="4:9" ht="15.75" customHeight="1">
      <c r="D341" s="5"/>
      <c r="H341" s="5"/>
      <c r="I341" s="5"/>
    </row>
    <row r="342" spans="4:9" ht="15.75" customHeight="1">
      <c r="D342" s="5"/>
      <c r="H342" s="5"/>
      <c r="I342" s="5"/>
    </row>
    <row r="343" spans="4:9" ht="15.75" customHeight="1">
      <c r="D343" s="5"/>
      <c r="H343" s="5"/>
      <c r="I343" s="5"/>
    </row>
    <row r="344" spans="4:9" ht="15.75" customHeight="1">
      <c r="D344" s="5"/>
      <c r="H344" s="5"/>
      <c r="I344" s="5"/>
    </row>
    <row r="345" spans="4:9" ht="15.75" customHeight="1">
      <c r="D345" s="5"/>
      <c r="H345" s="5"/>
      <c r="I345" s="5"/>
    </row>
    <row r="346" spans="4:9" ht="15.75" customHeight="1">
      <c r="D346" s="5"/>
      <c r="H346" s="5"/>
      <c r="I346" s="5"/>
    </row>
    <row r="347" spans="4:9" ht="15.75" customHeight="1">
      <c r="D347" s="5"/>
      <c r="H347" s="5"/>
      <c r="I347" s="5"/>
    </row>
    <row r="348" spans="4:9" ht="15.75" customHeight="1">
      <c r="D348" s="5"/>
      <c r="H348" s="5"/>
      <c r="I348" s="5"/>
    </row>
    <row r="349" spans="4:9" ht="15.75" customHeight="1">
      <c r="D349" s="5"/>
      <c r="H349" s="5"/>
      <c r="I349" s="5"/>
    </row>
    <row r="350" spans="4:9" ht="15.75" customHeight="1">
      <c r="D350" s="5"/>
      <c r="H350" s="5"/>
      <c r="I350" s="5"/>
    </row>
    <row r="351" spans="4:9" ht="15.75" customHeight="1">
      <c r="D351" s="5"/>
      <c r="H351" s="5"/>
      <c r="I351" s="5"/>
    </row>
    <row r="352" spans="4:9" ht="15.75" customHeight="1">
      <c r="D352" s="5"/>
      <c r="H352" s="5"/>
      <c r="I352" s="5"/>
    </row>
    <row r="353" spans="4:9" ht="15.75" customHeight="1">
      <c r="D353" s="5"/>
      <c r="H353" s="5"/>
      <c r="I353" s="5"/>
    </row>
    <row r="354" spans="4:9" ht="15.75" customHeight="1">
      <c r="D354" s="5"/>
      <c r="H354" s="5"/>
      <c r="I354" s="5"/>
    </row>
    <row r="355" spans="4:9" ht="15.75" customHeight="1">
      <c r="D355" s="5"/>
      <c r="H355" s="5"/>
      <c r="I355" s="5"/>
    </row>
    <row r="356" spans="4:9" ht="15.75" customHeight="1">
      <c r="D356" s="5"/>
      <c r="H356" s="5"/>
      <c r="I356" s="5"/>
    </row>
    <row r="357" spans="4:9" ht="15.75" customHeight="1">
      <c r="D357" s="5"/>
      <c r="H357" s="5"/>
      <c r="I357" s="5"/>
    </row>
    <row r="358" spans="4:9" ht="15.75" customHeight="1">
      <c r="D358" s="5"/>
      <c r="H358" s="5"/>
      <c r="I358" s="5"/>
    </row>
    <row r="359" spans="4:9" ht="15.75" customHeight="1">
      <c r="D359" s="5"/>
      <c r="H359" s="5"/>
      <c r="I359" s="5"/>
    </row>
    <row r="360" spans="4:9" ht="15.75" customHeight="1">
      <c r="D360" s="5"/>
      <c r="H360" s="5"/>
      <c r="I360" s="5"/>
    </row>
    <row r="361" spans="4:9" ht="15.75" customHeight="1">
      <c r="D361" s="5"/>
      <c r="H361" s="5"/>
      <c r="I361" s="5"/>
    </row>
    <row r="362" spans="4:9" ht="15.75" customHeight="1">
      <c r="D362" s="5"/>
      <c r="H362" s="5"/>
      <c r="I362" s="5"/>
    </row>
    <row r="363" spans="4:9" ht="15.75" customHeight="1">
      <c r="D363" s="5"/>
      <c r="H363" s="5"/>
      <c r="I363" s="5"/>
    </row>
    <row r="364" spans="4:9" ht="15.75" customHeight="1">
      <c r="D364" s="5"/>
      <c r="H364" s="5"/>
      <c r="I364" s="5"/>
    </row>
    <row r="365" spans="4:9" ht="15.75" customHeight="1">
      <c r="D365" s="5"/>
      <c r="H365" s="5"/>
      <c r="I365" s="5"/>
    </row>
    <row r="366" spans="4:9" ht="15.75" customHeight="1">
      <c r="D366" s="5"/>
      <c r="H366" s="5"/>
      <c r="I366" s="5"/>
    </row>
    <row r="367" spans="4:9" ht="15.75" customHeight="1">
      <c r="D367" s="5"/>
      <c r="H367" s="5"/>
      <c r="I367" s="5"/>
    </row>
    <row r="368" spans="4:9" ht="15.75" customHeight="1">
      <c r="D368" s="5"/>
      <c r="H368" s="5"/>
      <c r="I368" s="5"/>
    </row>
    <row r="369" spans="4:9" ht="15.75" customHeight="1">
      <c r="D369" s="5"/>
      <c r="H369" s="5"/>
      <c r="I369" s="5"/>
    </row>
    <row r="370" spans="4:9" ht="15.75" customHeight="1">
      <c r="D370" s="5"/>
      <c r="H370" s="5"/>
      <c r="I370" s="5"/>
    </row>
    <row r="371" spans="4:9" ht="15.75" customHeight="1">
      <c r="D371" s="5"/>
      <c r="H371" s="5"/>
      <c r="I371" s="5"/>
    </row>
    <row r="372" spans="4:9" ht="15.75" customHeight="1">
      <c r="D372" s="5"/>
      <c r="H372" s="5"/>
      <c r="I372" s="5"/>
    </row>
    <row r="373" spans="4:9" ht="15.75" customHeight="1">
      <c r="D373" s="5"/>
      <c r="H373" s="5"/>
      <c r="I373" s="5"/>
    </row>
    <row r="374" spans="4:9" ht="15.75" customHeight="1">
      <c r="D374" s="5"/>
      <c r="H374" s="5"/>
      <c r="I374" s="5"/>
    </row>
    <row r="375" spans="4:9" ht="15.75" customHeight="1">
      <c r="D375" s="5"/>
      <c r="H375" s="5"/>
      <c r="I375" s="5"/>
    </row>
    <row r="376" spans="4:9" ht="15.75" customHeight="1">
      <c r="D376" s="5"/>
      <c r="H376" s="5"/>
      <c r="I376" s="5"/>
    </row>
    <row r="377" spans="4:9" ht="15.75" customHeight="1">
      <c r="D377" s="5"/>
      <c r="H377" s="5"/>
      <c r="I377" s="5"/>
    </row>
    <row r="378" spans="4:9" ht="15.75" customHeight="1">
      <c r="D378" s="5"/>
      <c r="H378" s="5"/>
      <c r="I378" s="5"/>
    </row>
    <row r="379" spans="4:9" ht="15.75" customHeight="1">
      <c r="D379" s="5"/>
      <c r="H379" s="5"/>
      <c r="I379" s="5"/>
    </row>
    <row r="380" spans="4:9" ht="15.75" customHeight="1">
      <c r="D380" s="5"/>
      <c r="H380" s="5"/>
      <c r="I380" s="5"/>
    </row>
    <row r="381" spans="4:9" ht="15.75" customHeight="1">
      <c r="D381" s="5"/>
      <c r="H381" s="5"/>
      <c r="I381" s="5"/>
    </row>
    <row r="382" spans="4:9" ht="15.75" customHeight="1">
      <c r="D382" s="5"/>
      <c r="H382" s="5"/>
      <c r="I382" s="5"/>
    </row>
    <row r="383" spans="4:9" ht="15.75" customHeight="1">
      <c r="D383" s="5"/>
      <c r="H383" s="5"/>
      <c r="I383" s="5"/>
    </row>
    <row r="384" spans="4:9" ht="15.75" customHeight="1">
      <c r="D384" s="5"/>
      <c r="H384" s="5"/>
      <c r="I384" s="5"/>
    </row>
    <row r="385" spans="4:9" ht="15.75" customHeight="1">
      <c r="D385" s="5"/>
      <c r="H385" s="5"/>
      <c r="I385" s="5"/>
    </row>
    <row r="386" spans="4:9" ht="15.75" customHeight="1">
      <c r="D386" s="5"/>
      <c r="H386" s="5"/>
      <c r="I386" s="5"/>
    </row>
    <row r="387" spans="4:9" ht="15.75" customHeight="1">
      <c r="D387" s="5"/>
      <c r="H387" s="5"/>
      <c r="I387" s="5"/>
    </row>
    <row r="388" spans="4:9" ht="15.75" customHeight="1">
      <c r="D388" s="5"/>
      <c r="H388" s="5"/>
      <c r="I388" s="5"/>
    </row>
    <row r="389" spans="4:9" ht="15.75" customHeight="1">
      <c r="D389" s="5"/>
      <c r="H389" s="5"/>
      <c r="I389" s="5"/>
    </row>
    <row r="390" spans="4:9" ht="15.75" customHeight="1">
      <c r="D390" s="5"/>
      <c r="H390" s="5"/>
      <c r="I390" s="5"/>
    </row>
    <row r="391" spans="4:9" ht="15.75" customHeight="1">
      <c r="D391" s="5"/>
      <c r="H391" s="5"/>
      <c r="I391" s="5"/>
    </row>
    <row r="392" spans="4:9" ht="15.75" customHeight="1">
      <c r="D392" s="5"/>
      <c r="H392" s="5"/>
      <c r="I392" s="5"/>
    </row>
    <row r="393" spans="4:9" ht="15.75" customHeight="1">
      <c r="D393" s="5"/>
      <c r="H393" s="5"/>
      <c r="I393" s="5"/>
    </row>
    <row r="394" spans="4:9" ht="15.75" customHeight="1">
      <c r="D394" s="5"/>
      <c r="H394" s="5"/>
      <c r="I394" s="5"/>
    </row>
    <row r="395" spans="4:9" ht="15.75" customHeight="1">
      <c r="D395" s="5"/>
      <c r="H395" s="5"/>
      <c r="I395" s="5"/>
    </row>
    <row r="396" spans="4:9" ht="15.75" customHeight="1">
      <c r="D396" s="5"/>
      <c r="H396" s="5"/>
      <c r="I396" s="5"/>
    </row>
    <row r="397" spans="4:9" ht="15.75" customHeight="1">
      <c r="D397" s="5"/>
      <c r="H397" s="5"/>
      <c r="I397" s="5"/>
    </row>
    <row r="398" spans="4:9" ht="15.75" customHeight="1">
      <c r="D398" s="5"/>
      <c r="H398" s="5"/>
      <c r="I398" s="5"/>
    </row>
    <row r="399" spans="4:9" ht="15.75" customHeight="1">
      <c r="D399" s="5"/>
      <c r="H399" s="5"/>
      <c r="I399" s="5"/>
    </row>
    <row r="400" spans="4:9" ht="15.75" customHeight="1">
      <c r="D400" s="5"/>
      <c r="H400" s="5"/>
      <c r="I400" s="5"/>
    </row>
    <row r="401" spans="4:9" ht="15.75" customHeight="1">
      <c r="D401" s="5"/>
      <c r="H401" s="5"/>
      <c r="I401" s="5"/>
    </row>
    <row r="402" spans="4:9" ht="15.75" customHeight="1">
      <c r="D402" s="5"/>
      <c r="H402" s="5"/>
      <c r="I402" s="5"/>
    </row>
    <row r="403" spans="4:9" ht="15.75" customHeight="1">
      <c r="D403" s="5"/>
      <c r="H403" s="5"/>
      <c r="I403" s="5"/>
    </row>
    <row r="404" spans="4:9" ht="15.75" customHeight="1">
      <c r="D404" s="5"/>
      <c r="H404" s="5"/>
      <c r="I404" s="5"/>
    </row>
    <row r="405" spans="4:9" ht="15.75" customHeight="1">
      <c r="D405" s="5"/>
      <c r="H405" s="5"/>
      <c r="I405" s="5"/>
    </row>
    <row r="406" spans="4:9" ht="15.75" customHeight="1">
      <c r="D406" s="5"/>
      <c r="H406" s="5"/>
      <c r="I406" s="5"/>
    </row>
    <row r="407" spans="4:9" ht="15.75" customHeight="1">
      <c r="D407" s="5"/>
      <c r="H407" s="5"/>
      <c r="I407" s="5"/>
    </row>
    <row r="408" spans="4:9" ht="15.75" customHeight="1">
      <c r="D408" s="5"/>
      <c r="H408" s="5"/>
      <c r="I408" s="5"/>
    </row>
    <row r="409" spans="4:9" ht="15.75" customHeight="1">
      <c r="D409" s="5"/>
      <c r="H409" s="5"/>
      <c r="I409" s="5"/>
    </row>
    <row r="410" spans="4:9" ht="15.75" customHeight="1">
      <c r="D410" s="5"/>
      <c r="H410" s="5"/>
      <c r="I410" s="5"/>
    </row>
    <row r="411" spans="4:9" ht="15.75" customHeight="1">
      <c r="D411" s="5"/>
      <c r="H411" s="5"/>
      <c r="I411" s="5"/>
    </row>
    <row r="412" spans="4:9" ht="15.75" customHeight="1">
      <c r="D412" s="5"/>
      <c r="H412" s="5"/>
      <c r="I412" s="5"/>
    </row>
    <row r="413" spans="4:9" ht="15.75" customHeight="1">
      <c r="D413" s="5"/>
      <c r="H413" s="5"/>
      <c r="I413" s="5"/>
    </row>
    <row r="414" spans="4:9" ht="15.75" customHeight="1">
      <c r="D414" s="5"/>
      <c r="H414" s="5"/>
      <c r="I414" s="5"/>
    </row>
    <row r="415" spans="4:9" ht="15.75" customHeight="1">
      <c r="D415" s="5"/>
      <c r="H415" s="5"/>
      <c r="I415" s="5"/>
    </row>
    <row r="416" spans="4:9" ht="15.75" customHeight="1">
      <c r="D416" s="5"/>
      <c r="H416" s="5"/>
      <c r="I416" s="5"/>
    </row>
    <row r="417" spans="4:9" ht="15.75" customHeight="1">
      <c r="D417" s="5"/>
      <c r="H417" s="5"/>
      <c r="I417" s="5"/>
    </row>
    <row r="418" spans="4:9" ht="15.75" customHeight="1">
      <c r="D418" s="5"/>
      <c r="H418" s="5"/>
      <c r="I418" s="5"/>
    </row>
    <row r="419" spans="4:9" ht="15.75" customHeight="1">
      <c r="D419" s="5"/>
      <c r="H419" s="5"/>
      <c r="I419" s="5"/>
    </row>
    <row r="420" spans="4:9" ht="15.75" customHeight="1">
      <c r="D420" s="5"/>
      <c r="H420" s="5"/>
      <c r="I420" s="5"/>
    </row>
    <row r="421" spans="4:9" ht="15.75" customHeight="1">
      <c r="D421" s="5"/>
      <c r="H421" s="5"/>
      <c r="I421" s="5"/>
    </row>
    <row r="422" spans="4:9" ht="15.75" customHeight="1">
      <c r="D422" s="5"/>
      <c r="H422" s="5"/>
      <c r="I422" s="5"/>
    </row>
    <row r="423" spans="4:9" ht="15.75" customHeight="1">
      <c r="D423" s="5"/>
      <c r="H423" s="5"/>
      <c r="I423" s="5"/>
    </row>
    <row r="424" spans="4:9" ht="15.75" customHeight="1">
      <c r="D424" s="5"/>
      <c r="H424" s="5"/>
      <c r="I424" s="5"/>
    </row>
    <row r="425" spans="4:9" ht="15.75" customHeight="1">
      <c r="D425" s="5"/>
      <c r="H425" s="5"/>
      <c r="I425" s="5"/>
    </row>
    <row r="426" spans="4:9" ht="15.75" customHeight="1">
      <c r="D426" s="5"/>
      <c r="H426" s="5"/>
      <c r="I426" s="5"/>
    </row>
    <row r="427" spans="4:9" ht="15.75" customHeight="1">
      <c r="D427" s="5"/>
      <c r="H427" s="5"/>
      <c r="I427" s="5"/>
    </row>
    <row r="428" spans="4:9" ht="15.75" customHeight="1">
      <c r="D428" s="5"/>
      <c r="H428" s="5"/>
      <c r="I428" s="5"/>
    </row>
    <row r="429" spans="4:9" ht="15.75" customHeight="1">
      <c r="D429" s="5"/>
      <c r="H429" s="5"/>
      <c r="I429" s="5"/>
    </row>
    <row r="430" spans="4:9" ht="15.75" customHeight="1">
      <c r="D430" s="5"/>
      <c r="H430" s="5"/>
      <c r="I430" s="5"/>
    </row>
    <row r="431" spans="4:9" ht="15.75" customHeight="1">
      <c r="D431" s="5"/>
      <c r="H431" s="5"/>
      <c r="I431" s="5"/>
    </row>
    <row r="432" spans="4:9" ht="15.75" customHeight="1">
      <c r="D432" s="5"/>
      <c r="H432" s="5"/>
      <c r="I432" s="5"/>
    </row>
    <row r="433" spans="4:9" ht="15.75" customHeight="1">
      <c r="D433" s="5"/>
      <c r="H433" s="5"/>
      <c r="I433" s="5"/>
    </row>
    <row r="434" spans="4:9" ht="15.75" customHeight="1">
      <c r="D434" s="5"/>
      <c r="H434" s="5"/>
      <c r="I434" s="5"/>
    </row>
    <row r="435" spans="4:9" ht="15.75" customHeight="1">
      <c r="D435" s="5"/>
      <c r="H435" s="5"/>
      <c r="I435" s="5"/>
    </row>
    <row r="436" spans="4:9" ht="15.75" customHeight="1">
      <c r="D436" s="5"/>
      <c r="H436" s="5"/>
      <c r="I436" s="5"/>
    </row>
    <row r="437" spans="4:9" ht="15.75" customHeight="1">
      <c r="D437" s="5"/>
      <c r="H437" s="5"/>
      <c r="I437" s="5"/>
    </row>
    <row r="438" spans="4:9" ht="15.75" customHeight="1">
      <c r="D438" s="5"/>
      <c r="H438" s="5"/>
      <c r="I438" s="5"/>
    </row>
    <row r="439" spans="4:9" ht="15.75" customHeight="1">
      <c r="D439" s="5"/>
      <c r="H439" s="5"/>
      <c r="I439" s="5"/>
    </row>
    <row r="440" spans="4:9" ht="15.75" customHeight="1">
      <c r="D440" s="5"/>
      <c r="H440" s="5"/>
      <c r="I440" s="5"/>
    </row>
    <row r="441" spans="4:9" ht="15.75" customHeight="1">
      <c r="D441" s="5"/>
      <c r="H441" s="5"/>
      <c r="I441" s="5"/>
    </row>
    <row r="442" spans="4:9" ht="15.75" customHeight="1">
      <c r="D442" s="5"/>
      <c r="H442" s="5"/>
      <c r="I442" s="5"/>
    </row>
    <row r="443" spans="4:9" ht="15.75" customHeight="1">
      <c r="D443" s="5"/>
      <c r="H443" s="5"/>
      <c r="I443" s="5"/>
    </row>
    <row r="444" spans="4:9" ht="15.75" customHeight="1">
      <c r="D444" s="5"/>
      <c r="H444" s="5"/>
      <c r="I444" s="5"/>
    </row>
    <row r="445" spans="4:9" ht="15.75" customHeight="1">
      <c r="D445" s="5"/>
      <c r="H445" s="5"/>
      <c r="I445" s="5"/>
    </row>
    <row r="446" spans="4:9" ht="15.75" customHeight="1">
      <c r="D446" s="5"/>
      <c r="H446" s="5"/>
      <c r="I446" s="5"/>
    </row>
    <row r="447" spans="4:9" ht="15.75" customHeight="1">
      <c r="D447" s="5"/>
      <c r="H447" s="5"/>
      <c r="I447" s="5"/>
    </row>
    <row r="448" spans="4:9" ht="15.75" customHeight="1">
      <c r="D448" s="5"/>
      <c r="H448" s="5"/>
      <c r="I448" s="5"/>
    </row>
    <row r="449" spans="4:9" ht="15.75" customHeight="1">
      <c r="D449" s="5"/>
      <c r="H449" s="5"/>
      <c r="I449" s="5"/>
    </row>
    <row r="450" spans="4:9" ht="15.75" customHeight="1">
      <c r="D450" s="5"/>
      <c r="H450" s="5"/>
      <c r="I450" s="5"/>
    </row>
    <row r="451" spans="4:9" ht="15.75" customHeight="1">
      <c r="D451" s="5"/>
      <c r="H451" s="5"/>
      <c r="I451" s="5"/>
    </row>
    <row r="452" spans="4:9" ht="15.75" customHeight="1">
      <c r="D452" s="5"/>
      <c r="H452" s="5"/>
      <c r="I452" s="5"/>
    </row>
    <row r="453" spans="4:9" ht="15.75" customHeight="1">
      <c r="D453" s="5"/>
      <c r="H453" s="5"/>
      <c r="I453" s="5"/>
    </row>
    <row r="454" spans="4:9" ht="15.75" customHeight="1">
      <c r="D454" s="5"/>
      <c r="H454" s="5"/>
      <c r="I454" s="5"/>
    </row>
    <row r="455" spans="4:9" ht="15.75" customHeight="1">
      <c r="D455" s="5"/>
      <c r="H455" s="5"/>
      <c r="I455" s="5"/>
    </row>
    <row r="456" spans="4:9" ht="15.75" customHeight="1">
      <c r="D456" s="5"/>
      <c r="H456" s="5"/>
      <c r="I456" s="5"/>
    </row>
    <row r="457" spans="4:9" ht="15.75" customHeight="1">
      <c r="D457" s="5"/>
      <c r="H457" s="5"/>
      <c r="I457" s="5"/>
    </row>
    <row r="458" spans="4:9" ht="15.75" customHeight="1">
      <c r="D458" s="5"/>
      <c r="H458" s="5"/>
      <c r="I458" s="5"/>
    </row>
    <row r="459" spans="4:9" ht="15.75" customHeight="1">
      <c r="D459" s="5"/>
      <c r="H459" s="5"/>
      <c r="I459" s="5"/>
    </row>
    <row r="460" spans="4:9" ht="15.75" customHeight="1">
      <c r="D460" s="5"/>
      <c r="H460" s="5"/>
      <c r="I460" s="5"/>
    </row>
    <row r="461" spans="4:9" ht="15.75" customHeight="1">
      <c r="D461" s="5"/>
      <c r="H461" s="5"/>
      <c r="I461" s="5"/>
    </row>
    <row r="462" spans="4:9" ht="15.75" customHeight="1">
      <c r="D462" s="5"/>
      <c r="H462" s="5"/>
      <c r="I462" s="5"/>
    </row>
    <row r="463" spans="4:9" ht="15.75" customHeight="1">
      <c r="D463" s="5"/>
      <c r="H463" s="5"/>
      <c r="I463" s="5"/>
    </row>
    <row r="464" spans="4:9" ht="15.75" customHeight="1">
      <c r="D464" s="5"/>
      <c r="H464" s="5"/>
      <c r="I464" s="5"/>
    </row>
    <row r="465" spans="4:9" ht="15.75" customHeight="1">
      <c r="D465" s="5"/>
      <c r="H465" s="5"/>
      <c r="I465" s="5"/>
    </row>
    <row r="466" spans="4:9" ht="15.75" customHeight="1">
      <c r="D466" s="5"/>
      <c r="H466" s="5"/>
      <c r="I466" s="5"/>
    </row>
    <row r="467" spans="4:9" ht="15.75" customHeight="1">
      <c r="D467" s="5"/>
      <c r="H467" s="5"/>
      <c r="I467" s="5"/>
    </row>
    <row r="468" spans="4:9" ht="15.75" customHeight="1">
      <c r="D468" s="5"/>
      <c r="H468" s="5"/>
      <c r="I468" s="5"/>
    </row>
    <row r="469" spans="4:9" ht="15.75" customHeight="1">
      <c r="D469" s="5"/>
      <c r="H469" s="5"/>
      <c r="I469" s="5"/>
    </row>
    <row r="470" spans="4:9" ht="15.75" customHeight="1">
      <c r="D470" s="5"/>
      <c r="H470" s="5"/>
      <c r="I470" s="5"/>
    </row>
    <row r="471" spans="4:9" ht="15.75" customHeight="1">
      <c r="D471" s="5"/>
      <c r="H471" s="5"/>
      <c r="I471" s="5"/>
    </row>
    <row r="472" spans="4:9" ht="15.75" customHeight="1">
      <c r="D472" s="5"/>
      <c r="H472" s="5"/>
      <c r="I472" s="5"/>
    </row>
    <row r="473" spans="4:9" ht="15.75" customHeight="1">
      <c r="D473" s="5"/>
      <c r="H473" s="5"/>
      <c r="I473" s="5"/>
    </row>
    <row r="474" spans="4:9" ht="15.75" customHeight="1">
      <c r="D474" s="5"/>
      <c r="H474" s="5"/>
      <c r="I474" s="5"/>
    </row>
    <row r="475" spans="4:9" ht="15.75" customHeight="1">
      <c r="D475" s="5"/>
      <c r="H475" s="5"/>
      <c r="I475" s="5"/>
    </row>
    <row r="476" spans="4:9" ht="15.75" customHeight="1">
      <c r="D476" s="5"/>
      <c r="H476" s="5"/>
      <c r="I476" s="5"/>
    </row>
    <row r="477" spans="4:9" ht="15.75" customHeight="1">
      <c r="D477" s="5"/>
      <c r="H477" s="5"/>
      <c r="I477" s="5"/>
    </row>
    <row r="478" spans="4:9" ht="15.75" customHeight="1">
      <c r="D478" s="5"/>
      <c r="H478" s="5"/>
      <c r="I478" s="5"/>
    </row>
    <row r="479" spans="4:9" ht="15.75" customHeight="1">
      <c r="D479" s="5"/>
      <c r="H479" s="5"/>
      <c r="I479" s="5"/>
    </row>
    <row r="480" spans="4:9" ht="15.75" customHeight="1">
      <c r="D480" s="5"/>
      <c r="H480" s="5"/>
      <c r="I480" s="5"/>
    </row>
    <row r="481" spans="4:9" ht="15.75" customHeight="1">
      <c r="D481" s="5"/>
      <c r="H481" s="5"/>
      <c r="I481" s="5"/>
    </row>
    <row r="482" spans="4:9" ht="15.75" customHeight="1">
      <c r="D482" s="5"/>
      <c r="H482" s="5"/>
      <c r="I482" s="5"/>
    </row>
    <row r="483" spans="4:9" ht="15.75" customHeight="1">
      <c r="D483" s="5"/>
      <c r="H483" s="5"/>
      <c r="I483" s="5"/>
    </row>
    <row r="484" spans="4:9" ht="15.75" customHeight="1">
      <c r="D484" s="5"/>
      <c r="H484" s="5"/>
      <c r="I484" s="5"/>
    </row>
    <row r="485" spans="4:9" ht="15.75" customHeight="1">
      <c r="D485" s="5"/>
      <c r="H485" s="5"/>
      <c r="I485" s="5"/>
    </row>
    <row r="486" spans="4:9" ht="15.75" customHeight="1">
      <c r="D486" s="5"/>
      <c r="H486" s="5"/>
      <c r="I486" s="5"/>
    </row>
    <row r="487" spans="4:9" ht="15.75" customHeight="1">
      <c r="D487" s="5"/>
      <c r="H487" s="5"/>
      <c r="I487" s="5"/>
    </row>
    <row r="488" spans="4:9" ht="15.75" customHeight="1">
      <c r="D488" s="5"/>
      <c r="H488" s="5"/>
      <c r="I488" s="5"/>
    </row>
    <row r="489" spans="4:9" ht="15.75" customHeight="1">
      <c r="D489" s="5"/>
      <c r="H489" s="5"/>
      <c r="I489" s="5"/>
    </row>
    <row r="490" spans="4:9" ht="15.75" customHeight="1">
      <c r="D490" s="5"/>
      <c r="H490" s="5"/>
      <c r="I490" s="5"/>
    </row>
    <row r="491" spans="4:9" ht="15.75" customHeight="1">
      <c r="D491" s="5"/>
      <c r="H491" s="5"/>
      <c r="I491" s="5"/>
    </row>
    <row r="492" spans="4:9" ht="15.75" customHeight="1">
      <c r="D492" s="5"/>
      <c r="H492" s="5"/>
      <c r="I492" s="5"/>
    </row>
    <row r="493" spans="4:9" ht="15.75" customHeight="1">
      <c r="D493" s="5"/>
      <c r="H493" s="5"/>
      <c r="I493" s="5"/>
    </row>
    <row r="494" spans="4:9" ht="15.75" customHeight="1">
      <c r="D494" s="5"/>
      <c r="H494" s="5"/>
      <c r="I494" s="5"/>
    </row>
    <row r="495" spans="4:9" ht="15.75" customHeight="1">
      <c r="D495" s="5"/>
      <c r="H495" s="5"/>
      <c r="I495" s="5"/>
    </row>
    <row r="496" spans="4:9" ht="15.75" customHeight="1">
      <c r="D496" s="5"/>
      <c r="H496" s="5"/>
      <c r="I496" s="5"/>
    </row>
    <row r="497" spans="4:9" ht="15.75" customHeight="1">
      <c r="D497" s="5"/>
      <c r="H497" s="5"/>
      <c r="I497" s="5"/>
    </row>
    <row r="498" spans="4:9" ht="15.75" customHeight="1">
      <c r="D498" s="5"/>
      <c r="H498" s="5"/>
      <c r="I498" s="5"/>
    </row>
    <row r="499" spans="4:9" ht="15.75" customHeight="1">
      <c r="D499" s="5"/>
      <c r="H499" s="5"/>
      <c r="I499" s="5"/>
    </row>
    <row r="500" spans="4:9" ht="15.75" customHeight="1">
      <c r="D500" s="5"/>
      <c r="H500" s="5"/>
      <c r="I500" s="5"/>
    </row>
    <row r="501" spans="4:9" ht="15.75" customHeight="1">
      <c r="D501" s="5"/>
      <c r="H501" s="5"/>
      <c r="I501" s="5"/>
    </row>
    <row r="502" spans="4:9" ht="15.75" customHeight="1">
      <c r="D502" s="5"/>
      <c r="H502" s="5"/>
      <c r="I502" s="5"/>
    </row>
    <row r="503" spans="4:9" ht="15.75" customHeight="1">
      <c r="D503" s="5"/>
      <c r="H503" s="5"/>
      <c r="I503" s="5"/>
    </row>
    <row r="504" spans="4:9" ht="15.75" customHeight="1">
      <c r="D504" s="5"/>
      <c r="H504" s="5"/>
      <c r="I504" s="5"/>
    </row>
    <row r="505" spans="4:9" ht="15.75" customHeight="1">
      <c r="D505" s="5"/>
      <c r="H505" s="5"/>
      <c r="I505" s="5"/>
    </row>
    <row r="506" spans="4:9" ht="15.75" customHeight="1">
      <c r="D506" s="5"/>
      <c r="H506" s="5"/>
      <c r="I506" s="5"/>
    </row>
    <row r="507" spans="4:9" ht="15.75" customHeight="1">
      <c r="D507" s="5"/>
      <c r="H507" s="5"/>
      <c r="I507" s="5"/>
    </row>
    <row r="508" spans="4:9" ht="15.75" customHeight="1">
      <c r="D508" s="5"/>
      <c r="H508" s="5"/>
      <c r="I508" s="5"/>
    </row>
    <row r="509" spans="4:9" ht="15.75" customHeight="1">
      <c r="D509" s="5"/>
      <c r="H509" s="5"/>
      <c r="I509" s="5"/>
    </row>
    <row r="510" spans="4:9" ht="15.75" customHeight="1">
      <c r="D510" s="5"/>
      <c r="H510" s="5"/>
      <c r="I510" s="5"/>
    </row>
    <row r="511" spans="4:9" ht="15.75" customHeight="1">
      <c r="D511" s="5"/>
      <c r="H511" s="5"/>
      <c r="I511" s="5"/>
    </row>
    <row r="512" spans="4:9" ht="15.75" customHeight="1">
      <c r="D512" s="5"/>
      <c r="H512" s="5"/>
      <c r="I512" s="5"/>
    </row>
    <row r="513" spans="4:9" ht="15.75" customHeight="1">
      <c r="D513" s="5"/>
      <c r="H513" s="5"/>
      <c r="I513" s="5"/>
    </row>
    <row r="514" spans="4:9" ht="15.75" customHeight="1">
      <c r="D514" s="5"/>
      <c r="H514" s="5"/>
      <c r="I514" s="5"/>
    </row>
    <row r="515" spans="4:9" ht="15.75" customHeight="1">
      <c r="D515" s="5"/>
      <c r="H515" s="5"/>
      <c r="I515" s="5"/>
    </row>
    <row r="516" spans="4:9" ht="15.75" customHeight="1">
      <c r="D516" s="5"/>
      <c r="H516" s="5"/>
      <c r="I516" s="5"/>
    </row>
    <row r="517" spans="4:9" ht="15.75" customHeight="1">
      <c r="D517" s="5"/>
      <c r="H517" s="5"/>
      <c r="I517" s="5"/>
    </row>
    <row r="518" spans="4:9" ht="15.75" customHeight="1">
      <c r="D518" s="5"/>
      <c r="H518" s="5"/>
      <c r="I518" s="5"/>
    </row>
    <row r="519" spans="4:9" ht="15.75" customHeight="1">
      <c r="D519" s="5"/>
      <c r="H519" s="5"/>
      <c r="I519" s="5"/>
    </row>
    <row r="520" spans="4:9" ht="15.75" customHeight="1">
      <c r="D520" s="5"/>
      <c r="H520" s="5"/>
      <c r="I520" s="5"/>
    </row>
    <row r="521" spans="4:9" ht="15.75" customHeight="1">
      <c r="D521" s="5"/>
      <c r="H521" s="5"/>
      <c r="I521" s="5"/>
    </row>
    <row r="522" spans="4:9" ht="15.75" customHeight="1">
      <c r="D522" s="5"/>
      <c r="H522" s="5"/>
      <c r="I522" s="5"/>
    </row>
    <row r="523" spans="4:9" ht="15.75" customHeight="1">
      <c r="D523" s="5"/>
      <c r="H523" s="5"/>
      <c r="I523" s="5"/>
    </row>
    <row r="524" spans="4:9" ht="15.75" customHeight="1">
      <c r="D524" s="5"/>
      <c r="H524" s="5"/>
      <c r="I524" s="5"/>
    </row>
    <row r="525" spans="4:9" ht="15.75" customHeight="1">
      <c r="D525" s="5"/>
      <c r="H525" s="5"/>
      <c r="I525" s="5"/>
    </row>
    <row r="526" spans="4:9" ht="15.75" customHeight="1">
      <c r="D526" s="5"/>
      <c r="H526" s="5"/>
      <c r="I526" s="5"/>
    </row>
    <row r="527" spans="4:9" ht="15.75" customHeight="1">
      <c r="D527" s="5"/>
      <c r="H527" s="5"/>
      <c r="I527" s="5"/>
    </row>
    <row r="528" spans="4:9" ht="15.75" customHeight="1">
      <c r="D528" s="5"/>
      <c r="H528" s="5"/>
      <c r="I528" s="5"/>
    </row>
    <row r="529" spans="4:9" ht="15.75" customHeight="1">
      <c r="D529" s="5"/>
      <c r="H529" s="5"/>
      <c r="I529" s="5"/>
    </row>
    <row r="530" spans="4:9" ht="15.75" customHeight="1">
      <c r="D530" s="5"/>
      <c r="H530" s="5"/>
      <c r="I530" s="5"/>
    </row>
    <row r="531" spans="4:9" ht="15.75" customHeight="1">
      <c r="D531" s="5"/>
      <c r="H531" s="5"/>
      <c r="I531" s="5"/>
    </row>
    <row r="532" spans="4:9" ht="15.75" customHeight="1">
      <c r="D532" s="5"/>
      <c r="H532" s="5"/>
      <c r="I532" s="5"/>
    </row>
    <row r="533" spans="4:9" ht="15.75" customHeight="1">
      <c r="D533" s="5"/>
      <c r="H533" s="5"/>
      <c r="I533" s="5"/>
    </row>
    <row r="534" spans="4:9" ht="15.75" customHeight="1">
      <c r="D534" s="5"/>
      <c r="H534" s="5"/>
      <c r="I534" s="5"/>
    </row>
    <row r="535" spans="4:9" ht="15.75" customHeight="1">
      <c r="D535" s="5"/>
      <c r="H535" s="5"/>
      <c r="I535" s="5"/>
    </row>
    <row r="536" spans="4:9" ht="15.75" customHeight="1">
      <c r="D536" s="5"/>
      <c r="H536" s="5"/>
      <c r="I536" s="5"/>
    </row>
    <row r="537" spans="4:9" ht="15.75" customHeight="1">
      <c r="D537" s="5"/>
      <c r="H537" s="5"/>
      <c r="I537" s="5"/>
    </row>
    <row r="538" spans="4:9" ht="15.75" customHeight="1">
      <c r="D538" s="5"/>
      <c r="H538" s="5"/>
      <c r="I538" s="5"/>
    </row>
    <row r="539" spans="4:9" ht="15.75" customHeight="1">
      <c r="D539" s="5"/>
      <c r="H539" s="5"/>
      <c r="I539" s="5"/>
    </row>
    <row r="540" spans="4:9" ht="15.75" customHeight="1">
      <c r="D540" s="5"/>
      <c r="H540" s="5"/>
      <c r="I540" s="5"/>
    </row>
    <row r="541" spans="4:9" ht="15.75" customHeight="1">
      <c r="D541" s="5"/>
      <c r="H541" s="5"/>
      <c r="I541" s="5"/>
    </row>
    <row r="542" spans="4:9" ht="15.75" customHeight="1">
      <c r="D542" s="5"/>
      <c r="H542" s="5"/>
      <c r="I542" s="5"/>
    </row>
    <row r="543" spans="4:9" ht="15.75" customHeight="1">
      <c r="D543" s="5"/>
      <c r="H543" s="5"/>
      <c r="I543" s="5"/>
    </row>
    <row r="544" spans="4:9" ht="15.75" customHeight="1">
      <c r="D544" s="5"/>
      <c r="H544" s="5"/>
      <c r="I544" s="5"/>
    </row>
    <row r="545" spans="4:9" ht="15.75" customHeight="1">
      <c r="D545" s="5"/>
      <c r="H545" s="5"/>
      <c r="I545" s="5"/>
    </row>
    <row r="546" spans="4:9" ht="15.75" customHeight="1">
      <c r="D546" s="5"/>
      <c r="H546" s="5"/>
      <c r="I546" s="5"/>
    </row>
    <row r="547" spans="4:9" ht="15.75" customHeight="1">
      <c r="D547" s="5"/>
      <c r="H547" s="5"/>
      <c r="I547" s="5"/>
    </row>
    <row r="548" spans="4:9" ht="15.75" customHeight="1">
      <c r="D548" s="5"/>
      <c r="H548" s="5"/>
      <c r="I548" s="5"/>
    </row>
    <row r="549" spans="4:9" ht="15.75" customHeight="1">
      <c r="D549" s="5"/>
      <c r="H549" s="5"/>
      <c r="I549" s="5"/>
    </row>
    <row r="550" spans="4:9" ht="15.75" customHeight="1">
      <c r="D550" s="5"/>
      <c r="H550" s="5"/>
      <c r="I550" s="5"/>
    </row>
    <row r="551" spans="4:9" ht="15.75" customHeight="1">
      <c r="D551" s="5"/>
      <c r="H551" s="5"/>
      <c r="I551" s="5"/>
    </row>
    <row r="552" spans="4:9" ht="15.75" customHeight="1">
      <c r="D552" s="5"/>
      <c r="H552" s="5"/>
      <c r="I552" s="5"/>
    </row>
    <row r="553" spans="4:9" ht="15.75" customHeight="1">
      <c r="D553" s="5"/>
      <c r="H553" s="5"/>
      <c r="I553" s="5"/>
    </row>
    <row r="554" spans="4:9" ht="15.75" customHeight="1">
      <c r="D554" s="5"/>
      <c r="H554" s="5"/>
      <c r="I554" s="5"/>
    </row>
    <row r="555" spans="4:9" ht="15.75" customHeight="1">
      <c r="D555" s="5"/>
      <c r="H555" s="5"/>
      <c r="I555" s="5"/>
    </row>
    <row r="556" spans="4:9" ht="15.75" customHeight="1">
      <c r="D556" s="5"/>
      <c r="H556" s="5"/>
      <c r="I556" s="5"/>
    </row>
    <row r="557" spans="4:9" ht="15.75" customHeight="1">
      <c r="D557" s="5"/>
      <c r="H557" s="5"/>
      <c r="I557" s="5"/>
    </row>
    <row r="558" spans="4:9" ht="15.75" customHeight="1">
      <c r="D558" s="5"/>
      <c r="H558" s="5"/>
      <c r="I558" s="5"/>
    </row>
    <row r="559" spans="4:9" ht="15.75" customHeight="1">
      <c r="D559" s="5"/>
      <c r="H559" s="5"/>
      <c r="I559" s="5"/>
    </row>
    <row r="560" spans="4:9" ht="15.75" customHeight="1">
      <c r="D560" s="5"/>
      <c r="H560" s="5"/>
      <c r="I560" s="5"/>
    </row>
    <row r="561" spans="4:9" ht="15.75" customHeight="1">
      <c r="D561" s="5"/>
      <c r="H561" s="5"/>
      <c r="I561" s="5"/>
    </row>
    <row r="562" spans="4:9" ht="15.75" customHeight="1">
      <c r="D562" s="5"/>
      <c r="H562" s="5"/>
      <c r="I562" s="5"/>
    </row>
    <row r="563" spans="4:9" ht="15.75" customHeight="1">
      <c r="D563" s="5"/>
      <c r="H563" s="5"/>
      <c r="I563" s="5"/>
    </row>
    <row r="564" spans="4:9" ht="15.75" customHeight="1">
      <c r="D564" s="5"/>
      <c r="H564" s="5"/>
      <c r="I564" s="5"/>
    </row>
    <row r="565" spans="4:9" ht="15.75" customHeight="1">
      <c r="D565" s="5"/>
      <c r="H565" s="5"/>
      <c r="I565" s="5"/>
    </row>
    <row r="566" spans="4:9" ht="15.75" customHeight="1">
      <c r="D566" s="5"/>
      <c r="H566" s="5"/>
      <c r="I566" s="5"/>
    </row>
    <row r="567" spans="4:9" ht="15.75" customHeight="1">
      <c r="D567" s="5"/>
      <c r="H567" s="5"/>
      <c r="I567" s="5"/>
    </row>
    <row r="568" spans="4:9" ht="15.75" customHeight="1">
      <c r="D568" s="5"/>
      <c r="H568" s="5"/>
      <c r="I568" s="5"/>
    </row>
    <row r="569" spans="4:9" ht="15.75" customHeight="1">
      <c r="D569" s="5"/>
      <c r="H569" s="5"/>
      <c r="I569" s="5"/>
    </row>
    <row r="570" spans="4:9" ht="15.75" customHeight="1">
      <c r="D570" s="5"/>
      <c r="H570" s="5"/>
      <c r="I570" s="5"/>
    </row>
    <row r="571" spans="4:9" ht="15.75" customHeight="1">
      <c r="D571" s="5"/>
      <c r="H571" s="5"/>
      <c r="I571" s="5"/>
    </row>
    <row r="572" spans="4:9" ht="15.75" customHeight="1">
      <c r="D572" s="5"/>
      <c r="H572" s="5"/>
      <c r="I572" s="5"/>
    </row>
    <row r="573" spans="4:9" ht="15.75" customHeight="1">
      <c r="D573" s="5"/>
      <c r="H573" s="5"/>
      <c r="I573" s="5"/>
    </row>
    <row r="574" spans="4:9" ht="15.75" customHeight="1">
      <c r="D574" s="5"/>
      <c r="H574" s="5"/>
      <c r="I574" s="5"/>
    </row>
    <row r="575" spans="4:9" ht="15.75" customHeight="1">
      <c r="D575" s="5"/>
      <c r="H575" s="5"/>
      <c r="I575" s="5"/>
    </row>
    <row r="576" spans="4:9" ht="15.75" customHeight="1">
      <c r="D576" s="5"/>
      <c r="H576" s="5"/>
      <c r="I576" s="5"/>
    </row>
    <row r="577" spans="4:9" ht="15.75" customHeight="1">
      <c r="D577" s="5"/>
      <c r="H577" s="5"/>
      <c r="I577" s="5"/>
    </row>
    <row r="578" spans="4:9" ht="15.75" customHeight="1">
      <c r="D578" s="5"/>
      <c r="H578" s="5"/>
      <c r="I578" s="5"/>
    </row>
    <row r="579" spans="4:9" ht="15.75" customHeight="1">
      <c r="D579" s="5"/>
      <c r="H579" s="5"/>
      <c r="I579" s="5"/>
    </row>
    <row r="580" spans="4:9" ht="15.75" customHeight="1">
      <c r="D580" s="5"/>
      <c r="H580" s="5"/>
      <c r="I580" s="5"/>
    </row>
    <row r="581" spans="4:9" ht="15.75" customHeight="1">
      <c r="D581" s="5"/>
      <c r="H581" s="5"/>
      <c r="I581" s="5"/>
    </row>
    <row r="582" spans="4:9" ht="15.75" customHeight="1">
      <c r="D582" s="5"/>
      <c r="H582" s="5"/>
      <c r="I582" s="5"/>
    </row>
    <row r="583" spans="4:9" ht="15.75" customHeight="1">
      <c r="D583" s="5"/>
      <c r="H583" s="5"/>
      <c r="I583" s="5"/>
    </row>
    <row r="584" spans="4:9" ht="15.75" customHeight="1">
      <c r="D584" s="5"/>
      <c r="H584" s="5"/>
      <c r="I584" s="5"/>
    </row>
    <row r="585" spans="4:9" ht="15.75" customHeight="1">
      <c r="D585" s="5"/>
      <c r="H585" s="5"/>
      <c r="I585" s="5"/>
    </row>
    <row r="586" spans="4:9" ht="15.75" customHeight="1">
      <c r="D586" s="5"/>
      <c r="H586" s="5"/>
      <c r="I586" s="5"/>
    </row>
    <row r="587" spans="4:9" ht="15.75" customHeight="1">
      <c r="D587" s="5"/>
      <c r="H587" s="5"/>
      <c r="I587" s="5"/>
    </row>
    <row r="588" spans="4:9" ht="15.75" customHeight="1">
      <c r="D588" s="5"/>
      <c r="H588" s="5"/>
      <c r="I588" s="5"/>
    </row>
    <row r="589" spans="4:9" ht="15.75" customHeight="1">
      <c r="D589" s="5"/>
      <c r="H589" s="5"/>
      <c r="I589" s="5"/>
    </row>
    <row r="590" spans="4:9" ht="15.75" customHeight="1">
      <c r="D590" s="5"/>
      <c r="H590" s="5"/>
      <c r="I590" s="5"/>
    </row>
    <row r="591" spans="4:9" ht="15.75" customHeight="1">
      <c r="D591" s="5"/>
      <c r="H591" s="5"/>
      <c r="I591" s="5"/>
    </row>
    <row r="592" spans="4:9" ht="15.75" customHeight="1">
      <c r="D592" s="5"/>
      <c r="H592" s="5"/>
      <c r="I592" s="5"/>
    </row>
    <row r="593" spans="4:9" ht="15.75" customHeight="1">
      <c r="D593" s="5"/>
      <c r="H593" s="5"/>
      <c r="I593" s="5"/>
    </row>
    <row r="594" spans="4:9" ht="15.75" customHeight="1">
      <c r="D594" s="5"/>
      <c r="H594" s="5"/>
      <c r="I594" s="5"/>
    </row>
    <row r="595" spans="4:9" ht="15.75" customHeight="1">
      <c r="D595" s="5"/>
      <c r="H595" s="5"/>
      <c r="I595" s="5"/>
    </row>
    <row r="596" spans="4:9" ht="15.75" customHeight="1">
      <c r="D596" s="5"/>
      <c r="H596" s="5"/>
      <c r="I596" s="5"/>
    </row>
    <row r="597" spans="4:9" ht="15.75" customHeight="1">
      <c r="D597" s="5"/>
      <c r="H597" s="5"/>
      <c r="I597" s="5"/>
    </row>
    <row r="598" spans="4:9" ht="15.75" customHeight="1">
      <c r="D598" s="5"/>
      <c r="H598" s="5"/>
      <c r="I598" s="5"/>
    </row>
    <row r="599" spans="4:9" ht="15.75" customHeight="1">
      <c r="D599" s="5"/>
      <c r="H599" s="5"/>
      <c r="I599" s="5"/>
    </row>
    <row r="600" spans="4:9" ht="15.75" customHeight="1">
      <c r="D600" s="5"/>
      <c r="H600" s="5"/>
      <c r="I600" s="5"/>
    </row>
    <row r="601" spans="4:9" ht="15.75" customHeight="1">
      <c r="D601" s="5"/>
      <c r="H601" s="5"/>
      <c r="I601" s="5"/>
    </row>
    <row r="602" spans="4:9" ht="15.75" customHeight="1">
      <c r="D602" s="5"/>
      <c r="H602" s="5"/>
      <c r="I602" s="5"/>
    </row>
    <row r="603" spans="4:9" ht="15.75" customHeight="1">
      <c r="D603" s="5"/>
      <c r="H603" s="5"/>
      <c r="I603" s="5"/>
    </row>
    <row r="604" spans="4:9" ht="15.75" customHeight="1">
      <c r="D604" s="5"/>
      <c r="H604" s="5"/>
      <c r="I604" s="5"/>
    </row>
    <row r="605" spans="4:9" ht="15.75" customHeight="1">
      <c r="D605" s="5"/>
      <c r="H605" s="5"/>
      <c r="I605" s="5"/>
    </row>
    <row r="606" spans="4:9" ht="15.75" customHeight="1">
      <c r="D606" s="5"/>
      <c r="H606" s="5"/>
      <c r="I606" s="5"/>
    </row>
    <row r="607" spans="4:9" ht="15.75" customHeight="1">
      <c r="D607" s="5"/>
      <c r="H607" s="5"/>
      <c r="I607" s="5"/>
    </row>
    <row r="608" spans="4:9" ht="15.75" customHeight="1">
      <c r="D608" s="5"/>
      <c r="H608" s="5"/>
      <c r="I608" s="5"/>
    </row>
    <row r="609" spans="4:9" ht="15.75" customHeight="1">
      <c r="D609" s="5"/>
      <c r="H609" s="5"/>
      <c r="I609" s="5"/>
    </row>
    <row r="610" spans="4:9" ht="15.75" customHeight="1">
      <c r="D610" s="5"/>
      <c r="H610" s="5"/>
      <c r="I610" s="5"/>
    </row>
    <row r="611" spans="4:9" ht="15.75" customHeight="1">
      <c r="D611" s="5"/>
      <c r="H611" s="5"/>
      <c r="I611" s="5"/>
    </row>
    <row r="612" spans="4:9" ht="15.75" customHeight="1">
      <c r="D612" s="5"/>
      <c r="H612" s="5"/>
      <c r="I612" s="5"/>
    </row>
    <row r="613" spans="4:9" ht="15.75" customHeight="1">
      <c r="D613" s="5"/>
      <c r="H613" s="5"/>
      <c r="I613" s="5"/>
    </row>
    <row r="614" spans="4:9" ht="15.75" customHeight="1">
      <c r="D614" s="5"/>
      <c r="H614" s="5"/>
      <c r="I614" s="5"/>
    </row>
    <row r="615" spans="4:9" ht="15.75" customHeight="1">
      <c r="D615" s="5"/>
      <c r="H615" s="5"/>
      <c r="I615" s="5"/>
    </row>
    <row r="616" spans="4:9" ht="15.75" customHeight="1">
      <c r="D616" s="5"/>
      <c r="H616" s="5"/>
      <c r="I616" s="5"/>
    </row>
    <row r="617" spans="4:9" ht="15.75" customHeight="1">
      <c r="D617" s="5"/>
      <c r="H617" s="5"/>
      <c r="I617" s="5"/>
    </row>
    <row r="618" spans="4:9" ht="15.75" customHeight="1">
      <c r="D618" s="5"/>
      <c r="H618" s="5"/>
      <c r="I618" s="5"/>
    </row>
    <row r="619" spans="4:9" ht="15.75" customHeight="1">
      <c r="D619" s="5"/>
      <c r="H619" s="5"/>
      <c r="I619" s="5"/>
    </row>
    <row r="620" spans="4:9" ht="15.75" customHeight="1">
      <c r="D620" s="5"/>
      <c r="H620" s="5"/>
      <c r="I620" s="5"/>
    </row>
    <row r="621" spans="4:9" ht="15.75" customHeight="1">
      <c r="D621" s="5"/>
      <c r="H621" s="5"/>
      <c r="I621" s="5"/>
    </row>
    <row r="622" spans="4:9" ht="15.75" customHeight="1">
      <c r="D622" s="5"/>
      <c r="H622" s="5"/>
      <c r="I622" s="5"/>
    </row>
    <row r="623" spans="4:9" ht="15.75" customHeight="1">
      <c r="D623" s="5"/>
      <c r="H623" s="5"/>
      <c r="I623" s="5"/>
    </row>
    <row r="624" spans="4:9" ht="15.75" customHeight="1">
      <c r="D624" s="5"/>
      <c r="H624" s="5"/>
      <c r="I624" s="5"/>
    </row>
    <row r="625" spans="4:9" ht="15.75" customHeight="1">
      <c r="D625" s="5"/>
      <c r="H625" s="5"/>
      <c r="I625" s="5"/>
    </row>
    <row r="626" spans="4:9" ht="15.75" customHeight="1">
      <c r="D626" s="5"/>
      <c r="H626" s="5"/>
      <c r="I626" s="5"/>
    </row>
    <row r="627" spans="4:9" ht="15.75" customHeight="1">
      <c r="D627" s="5"/>
      <c r="H627" s="5"/>
      <c r="I627" s="5"/>
    </row>
    <row r="628" spans="4:9" ht="15.75" customHeight="1">
      <c r="D628" s="5"/>
      <c r="H628" s="5"/>
      <c r="I628" s="5"/>
    </row>
    <row r="629" spans="4:9" ht="15.75" customHeight="1">
      <c r="D629" s="5"/>
      <c r="H629" s="5"/>
      <c r="I629" s="5"/>
    </row>
    <row r="630" spans="4:9" ht="15.75" customHeight="1">
      <c r="D630" s="5"/>
      <c r="H630" s="5"/>
      <c r="I630" s="5"/>
    </row>
    <row r="631" spans="4:9" ht="15.75" customHeight="1">
      <c r="D631" s="5"/>
      <c r="H631" s="5"/>
      <c r="I631" s="5"/>
    </row>
    <row r="632" spans="4:9" ht="15.75" customHeight="1">
      <c r="D632" s="5"/>
      <c r="H632" s="5"/>
      <c r="I632" s="5"/>
    </row>
    <row r="633" spans="4:9" ht="15.75" customHeight="1">
      <c r="D633" s="5"/>
      <c r="H633" s="5"/>
      <c r="I633" s="5"/>
    </row>
    <row r="634" spans="4:9" ht="15.75" customHeight="1">
      <c r="D634" s="5"/>
      <c r="H634" s="5"/>
      <c r="I634" s="5"/>
    </row>
    <row r="635" spans="4:9" ht="15.75" customHeight="1">
      <c r="D635" s="5"/>
      <c r="H635" s="5"/>
      <c r="I635" s="5"/>
    </row>
    <row r="636" spans="4:9" ht="15.75" customHeight="1">
      <c r="D636" s="5"/>
      <c r="H636" s="5"/>
      <c r="I636" s="5"/>
    </row>
    <row r="637" spans="4:9" ht="15.75" customHeight="1">
      <c r="D637" s="5"/>
      <c r="H637" s="5"/>
      <c r="I637" s="5"/>
    </row>
    <row r="638" spans="4:9" ht="15.75" customHeight="1">
      <c r="D638" s="5"/>
      <c r="H638" s="5"/>
      <c r="I638" s="5"/>
    </row>
    <row r="639" spans="4:9" ht="15.75" customHeight="1">
      <c r="D639" s="5"/>
      <c r="H639" s="5"/>
      <c r="I639" s="5"/>
    </row>
    <row r="640" spans="4:9" ht="15.75" customHeight="1">
      <c r="D640" s="5"/>
      <c r="H640" s="5"/>
      <c r="I640" s="5"/>
    </row>
    <row r="641" spans="4:9" ht="15.75" customHeight="1">
      <c r="D641" s="5"/>
      <c r="H641" s="5"/>
      <c r="I641" s="5"/>
    </row>
    <row r="642" spans="4:9" ht="15.75" customHeight="1">
      <c r="D642" s="5"/>
      <c r="H642" s="5"/>
      <c r="I642" s="5"/>
    </row>
    <row r="643" spans="4:9" ht="15.75" customHeight="1">
      <c r="D643" s="5"/>
      <c r="H643" s="5"/>
      <c r="I643" s="5"/>
    </row>
    <row r="644" spans="4:9" ht="15.75" customHeight="1">
      <c r="D644" s="5"/>
      <c r="H644" s="5"/>
      <c r="I644" s="5"/>
    </row>
    <row r="645" spans="4:9" ht="15.75" customHeight="1">
      <c r="D645" s="5"/>
      <c r="H645" s="5"/>
      <c r="I645" s="5"/>
    </row>
    <row r="646" spans="4:9" ht="15.75" customHeight="1">
      <c r="D646" s="5"/>
      <c r="H646" s="5"/>
      <c r="I646" s="5"/>
    </row>
    <row r="647" spans="4:9" ht="15.75" customHeight="1">
      <c r="D647" s="5"/>
      <c r="H647" s="5"/>
      <c r="I647" s="5"/>
    </row>
    <row r="648" spans="4:9" ht="15.75" customHeight="1">
      <c r="D648" s="5"/>
      <c r="H648" s="5"/>
      <c r="I648" s="5"/>
    </row>
    <row r="649" spans="4:9" ht="15.75" customHeight="1">
      <c r="D649" s="5"/>
      <c r="H649" s="5"/>
      <c r="I649" s="5"/>
    </row>
    <row r="650" spans="4:9" ht="15.75" customHeight="1">
      <c r="D650" s="5"/>
      <c r="H650" s="5"/>
      <c r="I650" s="5"/>
    </row>
    <row r="651" spans="4:9" ht="15.75" customHeight="1">
      <c r="D651" s="5"/>
      <c r="H651" s="5"/>
      <c r="I651" s="5"/>
    </row>
    <row r="652" spans="4:9" ht="15.75" customHeight="1">
      <c r="D652" s="5"/>
      <c r="H652" s="5"/>
      <c r="I652" s="5"/>
    </row>
    <row r="653" spans="4:9" ht="15.75" customHeight="1">
      <c r="D653" s="5"/>
      <c r="H653" s="5"/>
      <c r="I653" s="5"/>
    </row>
    <row r="654" spans="4:9" ht="15.75" customHeight="1">
      <c r="D654" s="5"/>
      <c r="H654" s="5"/>
      <c r="I654" s="5"/>
    </row>
    <row r="655" spans="4:9" ht="15.75" customHeight="1">
      <c r="D655" s="5"/>
      <c r="H655" s="5"/>
      <c r="I655" s="5"/>
    </row>
    <row r="656" spans="4:9" ht="15.75" customHeight="1">
      <c r="D656" s="5"/>
      <c r="H656" s="5"/>
      <c r="I656" s="5"/>
    </row>
    <row r="657" spans="4:9" ht="15.75" customHeight="1">
      <c r="D657" s="5"/>
      <c r="H657" s="5"/>
      <c r="I657" s="5"/>
    </row>
    <row r="658" spans="4:9" ht="15.75" customHeight="1">
      <c r="D658" s="5"/>
      <c r="H658" s="5"/>
      <c r="I658" s="5"/>
    </row>
    <row r="659" spans="4:9" ht="15.75" customHeight="1">
      <c r="D659" s="5"/>
      <c r="H659" s="5"/>
      <c r="I659" s="5"/>
    </row>
    <row r="660" spans="4:9" ht="15.75" customHeight="1">
      <c r="D660" s="5"/>
      <c r="H660" s="5"/>
      <c r="I660" s="5"/>
    </row>
    <row r="661" spans="4:9" ht="15.75" customHeight="1">
      <c r="D661" s="5"/>
      <c r="H661" s="5"/>
      <c r="I661" s="5"/>
    </row>
    <row r="662" spans="4:9" ht="15.75" customHeight="1">
      <c r="D662" s="5"/>
      <c r="H662" s="5"/>
      <c r="I662" s="5"/>
    </row>
    <row r="663" spans="4:9" ht="15.75" customHeight="1">
      <c r="D663" s="5"/>
      <c r="H663" s="5"/>
      <c r="I663" s="5"/>
    </row>
    <row r="664" spans="4:9" ht="15.75" customHeight="1">
      <c r="D664" s="5"/>
      <c r="H664" s="5"/>
      <c r="I664" s="5"/>
    </row>
    <row r="665" spans="4:9" ht="15.75" customHeight="1">
      <c r="D665" s="5"/>
      <c r="H665" s="5"/>
      <c r="I665" s="5"/>
    </row>
    <row r="666" spans="4:9" ht="15.75" customHeight="1">
      <c r="D666" s="5"/>
      <c r="H666" s="5"/>
      <c r="I666" s="5"/>
    </row>
    <row r="667" spans="4:9" ht="15.75" customHeight="1">
      <c r="D667" s="5"/>
      <c r="H667" s="5"/>
      <c r="I667" s="5"/>
    </row>
    <row r="668" spans="4:9" ht="15.75" customHeight="1">
      <c r="D668" s="5"/>
      <c r="H668" s="5"/>
      <c r="I668" s="5"/>
    </row>
    <row r="669" spans="4:9" ht="15.75" customHeight="1">
      <c r="D669" s="5"/>
      <c r="H669" s="5"/>
      <c r="I669" s="5"/>
    </row>
    <row r="670" spans="4:9" ht="15.75" customHeight="1">
      <c r="D670" s="5"/>
      <c r="H670" s="5"/>
      <c r="I670" s="5"/>
    </row>
    <row r="671" spans="4:9" ht="15.75" customHeight="1">
      <c r="D671" s="5"/>
      <c r="H671" s="5"/>
      <c r="I671" s="5"/>
    </row>
    <row r="672" spans="4:9" ht="15.75" customHeight="1">
      <c r="D672" s="5"/>
      <c r="H672" s="5"/>
      <c r="I672" s="5"/>
    </row>
    <row r="673" spans="4:9" ht="15.75" customHeight="1">
      <c r="D673" s="5"/>
      <c r="H673" s="5"/>
      <c r="I673" s="5"/>
    </row>
    <row r="674" spans="4:9" ht="15.75" customHeight="1">
      <c r="D674" s="5"/>
      <c r="H674" s="5"/>
      <c r="I674" s="5"/>
    </row>
    <row r="675" spans="4:9" ht="15.75" customHeight="1">
      <c r="D675" s="5"/>
      <c r="H675" s="5"/>
      <c r="I675" s="5"/>
    </row>
    <row r="676" spans="4:9" ht="15.75" customHeight="1">
      <c r="D676" s="5"/>
      <c r="H676" s="5"/>
      <c r="I676" s="5"/>
    </row>
    <row r="677" spans="4:9" ht="15.75" customHeight="1">
      <c r="D677" s="5"/>
      <c r="H677" s="5"/>
      <c r="I677" s="5"/>
    </row>
    <row r="678" spans="4:9" ht="15.75" customHeight="1">
      <c r="D678" s="5"/>
      <c r="H678" s="5"/>
      <c r="I678" s="5"/>
    </row>
    <row r="679" spans="4:9" ht="15.75" customHeight="1">
      <c r="D679" s="5"/>
      <c r="H679" s="5"/>
      <c r="I679" s="5"/>
    </row>
    <row r="680" spans="4:9" ht="15.75" customHeight="1">
      <c r="D680" s="5"/>
      <c r="H680" s="5"/>
      <c r="I680" s="5"/>
    </row>
    <row r="681" spans="4:9" ht="15.75" customHeight="1">
      <c r="D681" s="5"/>
      <c r="H681" s="5"/>
      <c r="I681" s="5"/>
    </row>
    <row r="682" spans="4:9" ht="15.75" customHeight="1">
      <c r="D682" s="5"/>
      <c r="H682" s="5"/>
      <c r="I682" s="5"/>
    </row>
    <row r="683" spans="4:9" ht="15.75" customHeight="1">
      <c r="D683" s="5"/>
      <c r="H683" s="5"/>
      <c r="I683" s="5"/>
    </row>
    <row r="684" spans="4:9" ht="15.75" customHeight="1">
      <c r="D684" s="5"/>
      <c r="H684" s="5"/>
      <c r="I684" s="5"/>
    </row>
    <row r="685" spans="4:9" ht="15.75" customHeight="1">
      <c r="D685" s="5"/>
      <c r="H685" s="5"/>
      <c r="I685" s="5"/>
    </row>
    <row r="686" spans="4:9" ht="15.75" customHeight="1">
      <c r="D686" s="5"/>
      <c r="H686" s="5"/>
      <c r="I686" s="5"/>
    </row>
    <row r="687" spans="4:9" ht="15.75" customHeight="1">
      <c r="D687" s="5"/>
      <c r="H687" s="5"/>
      <c r="I687" s="5"/>
    </row>
    <row r="688" spans="4:9" ht="15.75" customHeight="1">
      <c r="D688" s="5"/>
      <c r="H688" s="5"/>
      <c r="I688" s="5"/>
    </row>
    <row r="689" spans="4:9" ht="15.75" customHeight="1">
      <c r="D689" s="5"/>
      <c r="H689" s="5"/>
      <c r="I689" s="5"/>
    </row>
    <row r="690" spans="4:9" ht="15.75" customHeight="1">
      <c r="D690" s="5"/>
      <c r="H690" s="5"/>
      <c r="I690" s="5"/>
    </row>
    <row r="691" spans="4:9" ht="15.75" customHeight="1">
      <c r="D691" s="5"/>
      <c r="H691" s="5"/>
      <c r="I691" s="5"/>
    </row>
    <row r="692" spans="4:9" ht="15.75" customHeight="1">
      <c r="D692" s="5"/>
      <c r="H692" s="5"/>
      <c r="I692" s="5"/>
    </row>
    <row r="693" spans="4:9" ht="15.75" customHeight="1">
      <c r="D693" s="5"/>
      <c r="H693" s="5"/>
      <c r="I693" s="5"/>
    </row>
    <row r="694" spans="4:9" ht="15.75" customHeight="1">
      <c r="D694" s="5"/>
      <c r="H694" s="5"/>
      <c r="I694" s="5"/>
    </row>
    <row r="695" spans="4:9" ht="15.75" customHeight="1">
      <c r="D695" s="5"/>
      <c r="H695" s="5"/>
      <c r="I695" s="5"/>
    </row>
    <row r="696" spans="4:9" ht="15.75" customHeight="1">
      <c r="D696" s="5"/>
      <c r="H696" s="5"/>
      <c r="I696" s="5"/>
    </row>
    <row r="697" spans="4:9" ht="15.75" customHeight="1">
      <c r="D697" s="5"/>
      <c r="H697" s="5"/>
      <c r="I697" s="5"/>
    </row>
    <row r="698" spans="4:9" ht="15.75" customHeight="1">
      <c r="D698" s="5"/>
      <c r="H698" s="5"/>
      <c r="I698" s="5"/>
    </row>
    <row r="699" spans="4:9" ht="15.75" customHeight="1">
      <c r="D699" s="5"/>
      <c r="H699" s="5"/>
      <c r="I699" s="5"/>
    </row>
    <row r="700" spans="4:9" ht="15.75" customHeight="1">
      <c r="D700" s="5"/>
      <c r="H700" s="5"/>
      <c r="I700" s="5"/>
    </row>
    <row r="701" spans="4:9" ht="15.75" customHeight="1">
      <c r="D701" s="5"/>
      <c r="H701" s="5"/>
      <c r="I701" s="5"/>
    </row>
    <row r="702" spans="4:9" ht="15.75" customHeight="1">
      <c r="D702" s="5"/>
      <c r="H702" s="5"/>
      <c r="I702" s="5"/>
    </row>
    <row r="703" spans="4:9" ht="15.75" customHeight="1">
      <c r="D703" s="5"/>
      <c r="H703" s="5"/>
      <c r="I703" s="5"/>
    </row>
    <row r="704" spans="4:9" ht="15.75" customHeight="1">
      <c r="D704" s="5"/>
      <c r="H704" s="5"/>
      <c r="I704" s="5"/>
    </row>
    <row r="705" spans="4:9" ht="15.75" customHeight="1">
      <c r="D705" s="5"/>
      <c r="H705" s="5"/>
      <c r="I705" s="5"/>
    </row>
    <row r="706" spans="4:9" ht="15.75" customHeight="1">
      <c r="D706" s="5"/>
      <c r="H706" s="5"/>
      <c r="I706" s="5"/>
    </row>
    <row r="707" spans="4:9" ht="15.75" customHeight="1">
      <c r="D707" s="5"/>
      <c r="H707" s="5"/>
      <c r="I707" s="5"/>
    </row>
    <row r="708" spans="4:9" ht="15.75" customHeight="1">
      <c r="D708" s="5"/>
      <c r="H708" s="5"/>
      <c r="I708" s="5"/>
    </row>
    <row r="709" spans="4:9" ht="15.75" customHeight="1">
      <c r="D709" s="5"/>
      <c r="H709" s="5"/>
      <c r="I709" s="5"/>
    </row>
    <row r="710" spans="4:9" ht="15.75" customHeight="1">
      <c r="D710" s="5"/>
      <c r="H710" s="5"/>
      <c r="I710" s="5"/>
    </row>
    <row r="711" spans="4:9" ht="15.75" customHeight="1">
      <c r="D711" s="5"/>
      <c r="H711" s="5"/>
      <c r="I711" s="5"/>
    </row>
    <row r="712" spans="4:9" ht="15.75" customHeight="1">
      <c r="D712" s="5"/>
      <c r="H712" s="5"/>
      <c r="I712" s="5"/>
    </row>
    <row r="713" spans="4:9" ht="15.75" customHeight="1">
      <c r="D713" s="5"/>
      <c r="H713" s="5"/>
      <c r="I713" s="5"/>
    </row>
    <row r="714" spans="4:9" ht="15.75" customHeight="1">
      <c r="D714" s="5"/>
      <c r="H714" s="5"/>
      <c r="I714" s="5"/>
    </row>
    <row r="715" spans="4:9" ht="15.75" customHeight="1">
      <c r="D715" s="5"/>
      <c r="H715" s="5"/>
      <c r="I715" s="5"/>
    </row>
    <row r="716" spans="4:9" ht="15.75" customHeight="1">
      <c r="D716" s="5"/>
      <c r="H716" s="5"/>
      <c r="I716" s="5"/>
    </row>
    <row r="717" spans="4:9" ht="15.75" customHeight="1">
      <c r="D717" s="5"/>
      <c r="H717" s="5"/>
      <c r="I717" s="5"/>
    </row>
    <row r="718" spans="4:9" ht="15.75" customHeight="1">
      <c r="D718" s="5"/>
      <c r="H718" s="5"/>
      <c r="I718" s="5"/>
    </row>
    <row r="719" spans="4:9" ht="15.75" customHeight="1">
      <c r="D719" s="5"/>
      <c r="H719" s="5"/>
      <c r="I719" s="5"/>
    </row>
    <row r="720" spans="4:9" ht="15.75" customHeight="1">
      <c r="D720" s="5"/>
      <c r="H720" s="5"/>
      <c r="I720" s="5"/>
    </row>
    <row r="721" spans="4:9" ht="15.75" customHeight="1">
      <c r="D721" s="5"/>
      <c r="H721" s="5"/>
      <c r="I721" s="5"/>
    </row>
    <row r="722" spans="4:9" ht="15.75" customHeight="1">
      <c r="D722" s="5"/>
      <c r="H722" s="5"/>
      <c r="I722" s="5"/>
    </row>
    <row r="723" spans="4:9" ht="15.75" customHeight="1">
      <c r="D723" s="5"/>
      <c r="H723" s="5"/>
      <c r="I723" s="5"/>
    </row>
    <row r="724" spans="4:9" ht="15.75" customHeight="1">
      <c r="D724" s="5"/>
      <c r="H724" s="5"/>
      <c r="I724" s="5"/>
    </row>
    <row r="725" spans="4:9" ht="15.75" customHeight="1">
      <c r="D725" s="5"/>
      <c r="H725" s="5"/>
      <c r="I725" s="5"/>
    </row>
    <row r="726" spans="4:9" ht="15.75" customHeight="1">
      <c r="D726" s="5"/>
      <c r="H726" s="5"/>
      <c r="I726" s="5"/>
    </row>
    <row r="727" spans="4:9" ht="15.75" customHeight="1">
      <c r="D727" s="5"/>
      <c r="H727" s="5"/>
      <c r="I727" s="5"/>
    </row>
    <row r="728" spans="4:9" ht="15.75" customHeight="1">
      <c r="D728" s="5"/>
      <c r="H728" s="5"/>
      <c r="I728" s="5"/>
    </row>
    <row r="729" spans="4:9" ht="15.75" customHeight="1">
      <c r="D729" s="5"/>
      <c r="H729" s="5"/>
      <c r="I729" s="5"/>
    </row>
    <row r="730" spans="4:9" ht="15.75" customHeight="1">
      <c r="D730" s="5"/>
      <c r="H730" s="5"/>
      <c r="I730" s="5"/>
    </row>
    <row r="731" spans="4:9" ht="15.75" customHeight="1">
      <c r="D731" s="5"/>
      <c r="H731" s="5"/>
      <c r="I731" s="5"/>
    </row>
    <row r="732" spans="4:9" ht="15.75" customHeight="1">
      <c r="D732" s="5"/>
      <c r="H732" s="5"/>
      <c r="I732" s="5"/>
    </row>
    <row r="733" spans="4:9" ht="15.75" customHeight="1">
      <c r="D733" s="5"/>
      <c r="H733" s="5"/>
      <c r="I733" s="5"/>
    </row>
    <row r="734" spans="4:9" ht="15.75" customHeight="1">
      <c r="D734" s="5"/>
      <c r="H734" s="5"/>
      <c r="I734" s="5"/>
    </row>
    <row r="735" spans="4:9" ht="15.75" customHeight="1">
      <c r="D735" s="5"/>
      <c r="H735" s="5"/>
      <c r="I735" s="5"/>
    </row>
    <row r="736" spans="4:9" ht="15.75" customHeight="1">
      <c r="D736" s="5"/>
      <c r="H736" s="5"/>
      <c r="I736" s="5"/>
    </row>
    <row r="737" spans="4:9" ht="15.75" customHeight="1">
      <c r="D737" s="5"/>
      <c r="H737" s="5"/>
      <c r="I737" s="5"/>
    </row>
    <row r="738" spans="4:9" ht="15.75" customHeight="1">
      <c r="D738" s="5"/>
      <c r="H738" s="5"/>
      <c r="I738" s="5"/>
    </row>
    <row r="739" spans="4:9" ht="15.75" customHeight="1">
      <c r="D739" s="5"/>
      <c r="H739" s="5"/>
      <c r="I739" s="5"/>
    </row>
    <row r="740" spans="4:9" ht="15.75" customHeight="1">
      <c r="D740" s="5"/>
      <c r="H740" s="5"/>
      <c r="I740" s="5"/>
    </row>
    <row r="741" spans="4:9" ht="15.75" customHeight="1">
      <c r="D741" s="5"/>
      <c r="H741" s="5"/>
      <c r="I741" s="5"/>
    </row>
    <row r="742" spans="4:9" ht="15.75" customHeight="1">
      <c r="D742" s="5"/>
      <c r="H742" s="5"/>
      <c r="I742" s="5"/>
    </row>
    <row r="743" spans="4:9" ht="15.75" customHeight="1">
      <c r="D743" s="5"/>
      <c r="H743" s="5"/>
      <c r="I743" s="5"/>
    </row>
    <row r="744" spans="4:9" ht="15.75" customHeight="1">
      <c r="D744" s="5"/>
      <c r="H744" s="5"/>
      <c r="I744" s="5"/>
    </row>
    <row r="745" spans="4:9" ht="15.75" customHeight="1">
      <c r="D745" s="5"/>
      <c r="H745" s="5"/>
      <c r="I745" s="5"/>
    </row>
    <row r="746" spans="4:9" ht="15.75" customHeight="1">
      <c r="D746" s="5"/>
      <c r="H746" s="5"/>
      <c r="I746" s="5"/>
    </row>
    <row r="747" spans="4:9" ht="15.75" customHeight="1">
      <c r="D747" s="5"/>
      <c r="H747" s="5"/>
      <c r="I747" s="5"/>
    </row>
    <row r="748" spans="4:9" ht="15.75" customHeight="1">
      <c r="D748" s="5"/>
      <c r="H748" s="5"/>
      <c r="I748" s="5"/>
    </row>
    <row r="749" spans="4:9" ht="15.75" customHeight="1">
      <c r="D749" s="5"/>
      <c r="H749" s="5"/>
      <c r="I749" s="5"/>
    </row>
    <row r="750" spans="4:9" ht="15.75" customHeight="1">
      <c r="D750" s="5"/>
      <c r="H750" s="5"/>
      <c r="I750" s="5"/>
    </row>
    <row r="751" spans="4:9" ht="15.75" customHeight="1">
      <c r="D751" s="5"/>
      <c r="H751" s="5"/>
      <c r="I751" s="5"/>
    </row>
    <row r="752" spans="4:9" ht="15.75" customHeight="1">
      <c r="D752" s="5"/>
      <c r="H752" s="5"/>
      <c r="I752" s="5"/>
    </row>
    <row r="753" spans="4:9" ht="15.75" customHeight="1">
      <c r="D753" s="5"/>
      <c r="H753" s="5"/>
      <c r="I753" s="5"/>
    </row>
    <row r="754" spans="4:9" ht="15.75" customHeight="1">
      <c r="D754" s="5"/>
      <c r="H754" s="5"/>
      <c r="I754" s="5"/>
    </row>
    <row r="755" spans="4:9" ht="15.75" customHeight="1">
      <c r="D755" s="5"/>
      <c r="H755" s="5"/>
      <c r="I755" s="5"/>
    </row>
    <row r="756" spans="4:9" ht="15.75" customHeight="1">
      <c r="D756" s="5"/>
      <c r="H756" s="5"/>
      <c r="I756" s="5"/>
    </row>
    <row r="757" spans="4:9" ht="15.75" customHeight="1">
      <c r="D757" s="5"/>
      <c r="H757" s="5"/>
      <c r="I757" s="5"/>
    </row>
    <row r="758" spans="4:9" ht="15.75" customHeight="1">
      <c r="D758" s="5"/>
      <c r="H758" s="5"/>
      <c r="I758" s="5"/>
    </row>
    <row r="759" spans="4:9" ht="15.75" customHeight="1">
      <c r="D759" s="5"/>
      <c r="H759" s="5"/>
      <c r="I759" s="5"/>
    </row>
    <row r="760" spans="4:9" ht="15.75" customHeight="1">
      <c r="D760" s="5"/>
      <c r="H760" s="5"/>
      <c r="I760" s="5"/>
    </row>
    <row r="761" spans="4:9" ht="15.75" customHeight="1">
      <c r="D761" s="5"/>
      <c r="H761" s="5"/>
      <c r="I761" s="5"/>
    </row>
    <row r="762" spans="4:9" ht="15.75" customHeight="1">
      <c r="D762" s="5"/>
      <c r="H762" s="5"/>
      <c r="I762" s="5"/>
    </row>
    <row r="763" spans="4:9" ht="15.75" customHeight="1">
      <c r="D763" s="5"/>
      <c r="H763" s="5"/>
      <c r="I763" s="5"/>
    </row>
    <row r="764" spans="4:9" ht="15.75" customHeight="1">
      <c r="D764" s="5"/>
      <c r="H764" s="5"/>
      <c r="I764" s="5"/>
    </row>
    <row r="765" spans="4:9" ht="15.75" customHeight="1">
      <c r="D765" s="5"/>
      <c r="H765" s="5"/>
      <c r="I765" s="5"/>
    </row>
    <row r="766" spans="4:9" ht="15.75" customHeight="1">
      <c r="D766" s="5"/>
      <c r="H766" s="5"/>
      <c r="I766" s="5"/>
    </row>
    <row r="767" spans="4:9" ht="15.75" customHeight="1">
      <c r="D767" s="5"/>
      <c r="H767" s="5"/>
      <c r="I767" s="5"/>
    </row>
    <row r="768" spans="4:9" ht="15.75" customHeight="1">
      <c r="D768" s="5"/>
      <c r="H768" s="5"/>
      <c r="I768" s="5"/>
    </row>
    <row r="769" spans="4:9" ht="15.75" customHeight="1">
      <c r="D769" s="5"/>
      <c r="H769" s="5"/>
      <c r="I769" s="5"/>
    </row>
    <row r="770" spans="4:9" ht="15.75" customHeight="1">
      <c r="D770" s="5"/>
      <c r="H770" s="5"/>
      <c r="I770" s="5"/>
    </row>
    <row r="771" spans="4:9" ht="15.75" customHeight="1">
      <c r="D771" s="5"/>
      <c r="H771" s="5"/>
      <c r="I771" s="5"/>
    </row>
    <row r="772" spans="4:9" ht="15.75" customHeight="1">
      <c r="D772" s="5"/>
      <c r="H772" s="5"/>
      <c r="I772" s="5"/>
    </row>
    <row r="773" spans="4:9" ht="15.75" customHeight="1">
      <c r="D773" s="5"/>
      <c r="H773" s="5"/>
      <c r="I773" s="5"/>
    </row>
    <row r="774" spans="4:9" ht="15.75" customHeight="1">
      <c r="D774" s="5"/>
      <c r="H774" s="5"/>
      <c r="I774" s="5"/>
    </row>
    <row r="775" spans="4:9" ht="15.75" customHeight="1">
      <c r="D775" s="5"/>
      <c r="H775" s="5"/>
      <c r="I775" s="5"/>
    </row>
    <row r="776" spans="4:9" ht="15.75" customHeight="1">
      <c r="D776" s="5"/>
      <c r="H776" s="5"/>
      <c r="I776" s="5"/>
    </row>
    <row r="777" spans="4:9" ht="15.75" customHeight="1">
      <c r="D777" s="5"/>
      <c r="H777" s="5"/>
      <c r="I777" s="5"/>
    </row>
    <row r="778" spans="4:9" ht="15.75" customHeight="1">
      <c r="D778" s="5"/>
      <c r="H778" s="5"/>
      <c r="I778" s="5"/>
    </row>
    <row r="779" spans="4:9" ht="15.75" customHeight="1">
      <c r="D779" s="5"/>
      <c r="H779" s="5"/>
      <c r="I779" s="5"/>
    </row>
    <row r="780" spans="4:9" ht="15.75" customHeight="1">
      <c r="D780" s="5"/>
      <c r="H780" s="5"/>
      <c r="I780" s="5"/>
    </row>
    <row r="781" spans="4:9" ht="15.75" customHeight="1">
      <c r="D781" s="5"/>
      <c r="H781" s="5"/>
      <c r="I781" s="5"/>
    </row>
    <row r="782" spans="4:9" ht="15.75" customHeight="1">
      <c r="D782" s="5"/>
      <c r="H782" s="5"/>
      <c r="I782" s="5"/>
    </row>
    <row r="783" spans="4:9" ht="15.75" customHeight="1">
      <c r="D783" s="5"/>
      <c r="H783" s="5"/>
      <c r="I783" s="5"/>
    </row>
    <row r="784" spans="4:9" ht="15.75" customHeight="1">
      <c r="D784" s="5"/>
      <c r="H784" s="5"/>
      <c r="I784" s="5"/>
    </row>
    <row r="785" spans="4:9" ht="15.75" customHeight="1">
      <c r="D785" s="5"/>
      <c r="H785" s="5"/>
      <c r="I785" s="5"/>
    </row>
    <row r="786" spans="4:9" ht="15.75" customHeight="1">
      <c r="D786" s="5"/>
      <c r="H786" s="5"/>
      <c r="I786" s="5"/>
    </row>
    <row r="787" spans="4:9" ht="15.75" customHeight="1">
      <c r="D787" s="5"/>
      <c r="H787" s="5"/>
      <c r="I787" s="5"/>
    </row>
    <row r="788" spans="4:9" ht="15.75" customHeight="1">
      <c r="D788" s="5"/>
      <c r="H788" s="5"/>
      <c r="I788" s="5"/>
    </row>
    <row r="789" spans="4:9" ht="15.75" customHeight="1">
      <c r="D789" s="5"/>
      <c r="H789" s="5"/>
      <c r="I789" s="5"/>
    </row>
    <row r="790" spans="4:9" ht="15.75" customHeight="1">
      <c r="D790" s="5"/>
      <c r="H790" s="5"/>
      <c r="I790" s="5"/>
    </row>
    <row r="791" spans="4:9" ht="15.75" customHeight="1">
      <c r="D791" s="5"/>
      <c r="H791" s="5"/>
      <c r="I791" s="5"/>
    </row>
    <row r="792" spans="4:9" ht="15.75" customHeight="1">
      <c r="D792" s="5"/>
      <c r="H792" s="5"/>
      <c r="I792" s="5"/>
    </row>
    <row r="793" spans="4:9" ht="15.75" customHeight="1">
      <c r="D793" s="5"/>
      <c r="H793" s="5"/>
      <c r="I793" s="5"/>
    </row>
    <row r="794" spans="4:9" ht="15.75" customHeight="1">
      <c r="D794" s="5"/>
      <c r="H794" s="5"/>
      <c r="I794" s="5"/>
    </row>
    <row r="795" spans="4:9" ht="15.75" customHeight="1">
      <c r="D795" s="5"/>
      <c r="H795" s="5"/>
      <c r="I795" s="5"/>
    </row>
    <row r="796" spans="4:9" ht="15.75" customHeight="1">
      <c r="D796" s="5"/>
      <c r="H796" s="5"/>
      <c r="I796" s="5"/>
    </row>
    <row r="797" spans="4:9" ht="15.75" customHeight="1">
      <c r="D797" s="5"/>
      <c r="H797" s="5"/>
      <c r="I797" s="5"/>
    </row>
    <row r="798" spans="4:9" ht="15.75" customHeight="1">
      <c r="D798" s="5"/>
      <c r="H798" s="5"/>
      <c r="I798" s="5"/>
    </row>
    <row r="799" spans="4:9" ht="15.75" customHeight="1">
      <c r="D799" s="5"/>
      <c r="H799" s="5"/>
      <c r="I799" s="5"/>
    </row>
    <row r="800" spans="4:9" ht="15.75" customHeight="1">
      <c r="D800" s="5"/>
      <c r="H800" s="5"/>
      <c r="I800" s="5"/>
    </row>
    <row r="801" spans="4:9" ht="15.75" customHeight="1">
      <c r="D801" s="5"/>
      <c r="H801" s="5"/>
      <c r="I801" s="5"/>
    </row>
    <row r="802" spans="4:9" ht="15.75" customHeight="1">
      <c r="D802" s="5"/>
      <c r="H802" s="5"/>
      <c r="I802" s="5"/>
    </row>
    <row r="803" spans="4:9" ht="15.75" customHeight="1">
      <c r="D803" s="5"/>
      <c r="H803" s="5"/>
      <c r="I803" s="5"/>
    </row>
    <row r="804" spans="4:9" ht="15.75" customHeight="1">
      <c r="D804" s="5"/>
      <c r="H804" s="5"/>
      <c r="I804" s="5"/>
    </row>
    <row r="805" spans="4:9" ht="15.75" customHeight="1">
      <c r="D805" s="5"/>
      <c r="H805" s="5"/>
      <c r="I805" s="5"/>
    </row>
    <row r="806" spans="4:9" ht="15.75" customHeight="1">
      <c r="D806" s="5"/>
      <c r="H806" s="5"/>
      <c r="I806" s="5"/>
    </row>
    <row r="807" spans="4:9" ht="15.75" customHeight="1">
      <c r="D807" s="5"/>
      <c r="H807" s="5"/>
      <c r="I807" s="5"/>
    </row>
    <row r="808" spans="4:9" ht="15.75" customHeight="1">
      <c r="D808" s="5"/>
      <c r="H808" s="5"/>
      <c r="I808" s="5"/>
    </row>
    <row r="809" spans="4:9" ht="15.75" customHeight="1">
      <c r="D809" s="5"/>
      <c r="H809" s="5"/>
      <c r="I809" s="5"/>
    </row>
    <row r="810" spans="4:9" ht="15.75" customHeight="1">
      <c r="D810" s="5"/>
      <c r="H810" s="5"/>
      <c r="I810" s="5"/>
    </row>
    <row r="811" spans="4:9" ht="15.75" customHeight="1">
      <c r="D811" s="5"/>
      <c r="H811" s="5"/>
      <c r="I811" s="5"/>
    </row>
    <row r="812" spans="4:9" ht="15.75" customHeight="1">
      <c r="D812" s="5"/>
      <c r="H812" s="5"/>
      <c r="I812" s="5"/>
    </row>
    <row r="813" spans="4:9" ht="15.75" customHeight="1">
      <c r="D813" s="5"/>
      <c r="H813" s="5"/>
      <c r="I813" s="5"/>
    </row>
    <row r="814" spans="4:9" ht="15.75" customHeight="1">
      <c r="D814" s="5"/>
      <c r="H814" s="5"/>
      <c r="I814" s="5"/>
    </row>
    <row r="815" spans="4:9" ht="15.75" customHeight="1">
      <c r="D815" s="5"/>
      <c r="H815" s="5"/>
      <c r="I815" s="5"/>
    </row>
    <row r="816" spans="4:9" ht="15.75" customHeight="1">
      <c r="D816" s="5"/>
      <c r="H816" s="5"/>
      <c r="I816" s="5"/>
    </row>
    <row r="817" spans="4:9" ht="15.75" customHeight="1">
      <c r="D817" s="5"/>
      <c r="H817" s="5"/>
      <c r="I817" s="5"/>
    </row>
    <row r="818" spans="4:9" ht="15.75" customHeight="1">
      <c r="D818" s="5"/>
      <c r="H818" s="5"/>
      <c r="I818" s="5"/>
    </row>
    <row r="819" spans="4:9" ht="15.75" customHeight="1">
      <c r="D819" s="5"/>
      <c r="H819" s="5"/>
      <c r="I819" s="5"/>
    </row>
    <row r="820" spans="4:9" ht="15.75" customHeight="1">
      <c r="D820" s="5"/>
      <c r="H820" s="5"/>
      <c r="I820" s="5"/>
    </row>
    <row r="821" spans="4:9" ht="15.75" customHeight="1">
      <c r="D821" s="5"/>
      <c r="H821" s="5"/>
      <c r="I821" s="5"/>
    </row>
    <row r="822" spans="4:9" ht="15.75" customHeight="1">
      <c r="D822" s="5"/>
      <c r="H822" s="5"/>
      <c r="I822" s="5"/>
    </row>
    <row r="823" spans="4:9" ht="15.75" customHeight="1">
      <c r="D823" s="5"/>
      <c r="H823" s="5"/>
      <c r="I823" s="5"/>
    </row>
    <row r="824" spans="4:9" ht="15.75" customHeight="1">
      <c r="D824" s="5"/>
      <c r="H824" s="5"/>
      <c r="I824" s="5"/>
    </row>
    <row r="825" spans="4:9" ht="15.75" customHeight="1">
      <c r="D825" s="5"/>
      <c r="H825" s="5"/>
      <c r="I825" s="5"/>
    </row>
    <row r="826" spans="4:9" ht="15.75" customHeight="1">
      <c r="D826" s="5"/>
      <c r="H826" s="5"/>
      <c r="I826" s="5"/>
    </row>
    <row r="827" spans="4:9" ht="15.75" customHeight="1">
      <c r="D827" s="5"/>
      <c r="H827" s="5"/>
      <c r="I827" s="5"/>
    </row>
    <row r="828" spans="4:9" ht="15.75" customHeight="1">
      <c r="D828" s="5"/>
      <c r="H828" s="5"/>
      <c r="I828" s="5"/>
    </row>
    <row r="829" spans="4:9" ht="15.75" customHeight="1">
      <c r="D829" s="5"/>
      <c r="H829" s="5"/>
      <c r="I829" s="5"/>
    </row>
    <row r="830" spans="4:9" ht="15.75" customHeight="1">
      <c r="D830" s="5"/>
      <c r="H830" s="5"/>
      <c r="I830" s="5"/>
    </row>
    <row r="831" spans="4:9" ht="15.75" customHeight="1">
      <c r="D831" s="5"/>
      <c r="H831" s="5"/>
      <c r="I831" s="5"/>
    </row>
    <row r="832" spans="4:9" ht="15.75" customHeight="1">
      <c r="D832" s="5"/>
      <c r="H832" s="5"/>
      <c r="I832" s="5"/>
    </row>
    <row r="833" spans="4:9" ht="15.75" customHeight="1">
      <c r="D833" s="5"/>
      <c r="H833" s="5"/>
      <c r="I833" s="5"/>
    </row>
    <row r="834" spans="4:9" ht="15.75" customHeight="1">
      <c r="D834" s="5"/>
      <c r="H834" s="5"/>
      <c r="I834" s="5"/>
    </row>
    <row r="835" spans="4:9" ht="15.75" customHeight="1">
      <c r="D835" s="5"/>
      <c r="H835" s="5"/>
      <c r="I835" s="5"/>
    </row>
    <row r="836" spans="4:9" ht="15.75" customHeight="1">
      <c r="D836" s="5"/>
      <c r="H836" s="5"/>
      <c r="I836" s="5"/>
    </row>
    <row r="837" spans="4:9" ht="15.75" customHeight="1">
      <c r="D837" s="5"/>
      <c r="H837" s="5"/>
      <c r="I837" s="5"/>
    </row>
    <row r="838" spans="4:9" ht="15.75" customHeight="1">
      <c r="D838" s="5"/>
      <c r="H838" s="5"/>
      <c r="I838" s="5"/>
    </row>
    <row r="839" spans="4:9" ht="15.75" customHeight="1">
      <c r="D839" s="5"/>
      <c r="H839" s="5"/>
      <c r="I839" s="5"/>
    </row>
    <row r="840" spans="4:9" ht="15.75" customHeight="1">
      <c r="D840" s="5"/>
      <c r="H840" s="5"/>
      <c r="I840" s="5"/>
    </row>
    <row r="841" spans="4:9" ht="15.75" customHeight="1">
      <c r="D841" s="5"/>
      <c r="H841" s="5"/>
      <c r="I841" s="5"/>
    </row>
    <row r="842" spans="4:9" ht="15.75" customHeight="1">
      <c r="D842" s="5"/>
      <c r="H842" s="5"/>
      <c r="I842" s="5"/>
    </row>
    <row r="843" spans="4:9" ht="15.75" customHeight="1">
      <c r="D843" s="5"/>
      <c r="H843" s="5"/>
      <c r="I843" s="5"/>
    </row>
    <row r="844" spans="4:9" ht="15.75" customHeight="1">
      <c r="D844" s="5"/>
      <c r="H844" s="5"/>
      <c r="I844" s="5"/>
    </row>
    <row r="845" spans="4:9" ht="15.75" customHeight="1">
      <c r="D845" s="5"/>
      <c r="H845" s="5"/>
      <c r="I845" s="5"/>
    </row>
    <row r="846" spans="4:9" ht="15.75" customHeight="1">
      <c r="D846" s="5"/>
      <c r="H846" s="5"/>
      <c r="I846" s="5"/>
    </row>
    <row r="847" spans="4:9" ht="15.75" customHeight="1">
      <c r="D847" s="5"/>
      <c r="H847" s="5"/>
      <c r="I847" s="5"/>
    </row>
    <row r="848" spans="4:9" ht="15.75" customHeight="1">
      <c r="D848" s="5"/>
      <c r="H848" s="5"/>
      <c r="I848" s="5"/>
    </row>
    <row r="849" spans="4:9" ht="15.75" customHeight="1">
      <c r="D849" s="5"/>
      <c r="H849" s="5"/>
      <c r="I849" s="5"/>
    </row>
    <row r="850" spans="4:9" ht="15.75" customHeight="1">
      <c r="D850" s="5"/>
      <c r="H850" s="5"/>
      <c r="I850" s="5"/>
    </row>
    <row r="851" spans="4:9" ht="15.75" customHeight="1">
      <c r="D851" s="5"/>
      <c r="H851" s="5"/>
      <c r="I851" s="5"/>
    </row>
    <row r="852" spans="4:9" ht="15.75" customHeight="1">
      <c r="D852" s="5"/>
      <c r="H852" s="5"/>
      <c r="I852" s="5"/>
    </row>
    <row r="853" spans="4:9" ht="15.75" customHeight="1">
      <c r="D853" s="5"/>
      <c r="H853" s="5"/>
      <c r="I853" s="5"/>
    </row>
    <row r="854" spans="4:9" ht="15.75" customHeight="1">
      <c r="D854" s="5"/>
      <c r="H854" s="5"/>
      <c r="I854" s="5"/>
    </row>
    <row r="855" spans="4:9" ht="15.75" customHeight="1">
      <c r="D855" s="5"/>
      <c r="H855" s="5"/>
      <c r="I855" s="5"/>
    </row>
    <row r="856" spans="4:9" ht="15.75" customHeight="1">
      <c r="D856" s="5"/>
      <c r="H856" s="5"/>
      <c r="I856" s="5"/>
    </row>
    <row r="857" spans="4:9" ht="15.75" customHeight="1">
      <c r="D857" s="5"/>
      <c r="H857" s="5"/>
      <c r="I857" s="5"/>
    </row>
    <row r="858" spans="4:9" ht="15.75" customHeight="1">
      <c r="D858" s="5"/>
      <c r="H858" s="5"/>
      <c r="I858" s="5"/>
    </row>
    <row r="859" spans="4:9" ht="15.75" customHeight="1">
      <c r="D859" s="5"/>
      <c r="H859" s="5"/>
      <c r="I859" s="5"/>
    </row>
    <row r="860" spans="4:9" ht="15.75" customHeight="1">
      <c r="D860" s="5"/>
      <c r="H860" s="5"/>
      <c r="I860" s="5"/>
    </row>
    <row r="861" spans="4:9" ht="15.75" customHeight="1">
      <c r="D861" s="5"/>
      <c r="H861" s="5"/>
      <c r="I861" s="5"/>
    </row>
    <row r="862" spans="4:9" ht="15.75" customHeight="1">
      <c r="D862" s="5"/>
      <c r="H862" s="5"/>
      <c r="I862" s="5"/>
    </row>
    <row r="863" spans="4:9" ht="15.75" customHeight="1">
      <c r="D863" s="5"/>
      <c r="H863" s="5"/>
      <c r="I863" s="5"/>
    </row>
    <row r="864" spans="4:9" ht="15.75" customHeight="1">
      <c r="D864" s="5"/>
      <c r="H864" s="5"/>
      <c r="I864" s="5"/>
    </row>
    <row r="865" spans="4:9" ht="15.75" customHeight="1">
      <c r="D865" s="5"/>
      <c r="H865" s="5"/>
      <c r="I865" s="5"/>
    </row>
    <row r="866" spans="4:9" ht="15.75" customHeight="1">
      <c r="D866" s="5"/>
      <c r="H866" s="5"/>
      <c r="I866" s="5"/>
    </row>
    <row r="867" spans="4:9" ht="15.75" customHeight="1">
      <c r="D867" s="5"/>
      <c r="H867" s="5"/>
      <c r="I867" s="5"/>
    </row>
    <row r="868" spans="4:9" ht="15.75" customHeight="1">
      <c r="D868" s="5"/>
      <c r="H868" s="5"/>
      <c r="I868" s="5"/>
    </row>
    <row r="869" spans="4:9" ht="15.75" customHeight="1">
      <c r="D869" s="5"/>
      <c r="H869" s="5"/>
      <c r="I869" s="5"/>
    </row>
    <row r="870" spans="4:9" ht="15.75" customHeight="1">
      <c r="D870" s="5"/>
      <c r="H870" s="5"/>
      <c r="I870" s="5"/>
    </row>
    <row r="871" spans="4:9" ht="15.75" customHeight="1">
      <c r="D871" s="5"/>
      <c r="H871" s="5"/>
      <c r="I871" s="5"/>
    </row>
    <row r="872" spans="4:9" ht="15.75" customHeight="1">
      <c r="D872" s="5"/>
      <c r="H872" s="5"/>
      <c r="I872" s="5"/>
    </row>
    <row r="873" spans="4:9" ht="15.75" customHeight="1">
      <c r="D873" s="5"/>
      <c r="H873" s="5"/>
      <c r="I873" s="5"/>
    </row>
    <row r="874" spans="4:9" ht="15.75" customHeight="1">
      <c r="D874" s="5"/>
      <c r="H874" s="5"/>
      <c r="I874" s="5"/>
    </row>
    <row r="875" spans="4:9" ht="15.75" customHeight="1">
      <c r="D875" s="5"/>
      <c r="H875" s="5"/>
      <c r="I875" s="5"/>
    </row>
    <row r="876" spans="4:9" ht="15.75" customHeight="1">
      <c r="D876" s="5"/>
      <c r="H876" s="5"/>
      <c r="I876" s="5"/>
    </row>
    <row r="877" spans="4:9" ht="15.75" customHeight="1">
      <c r="D877" s="5"/>
      <c r="H877" s="5"/>
      <c r="I877" s="5"/>
    </row>
    <row r="878" spans="4:9" ht="15.75" customHeight="1">
      <c r="D878" s="5"/>
      <c r="H878" s="5"/>
      <c r="I878" s="5"/>
    </row>
    <row r="879" spans="4:9" ht="15.75" customHeight="1">
      <c r="D879" s="5"/>
      <c r="H879" s="5"/>
      <c r="I879" s="5"/>
    </row>
    <row r="880" spans="4:9" ht="15.75" customHeight="1">
      <c r="D880" s="5"/>
      <c r="H880" s="5"/>
      <c r="I880" s="5"/>
    </row>
    <row r="881" spans="4:9" ht="15.75" customHeight="1">
      <c r="D881" s="5"/>
      <c r="H881" s="5"/>
      <c r="I881" s="5"/>
    </row>
    <row r="882" spans="4:9" ht="15.75" customHeight="1">
      <c r="D882" s="5"/>
      <c r="H882" s="5"/>
      <c r="I882" s="5"/>
    </row>
    <row r="883" spans="4:9" ht="15.75" customHeight="1">
      <c r="D883" s="5"/>
      <c r="H883" s="5"/>
      <c r="I883" s="5"/>
    </row>
    <row r="884" spans="4:9" ht="15.75" customHeight="1">
      <c r="D884" s="5"/>
      <c r="H884" s="5"/>
      <c r="I884" s="5"/>
    </row>
    <row r="885" spans="4:9" ht="15.75" customHeight="1">
      <c r="D885" s="5"/>
      <c r="H885" s="5"/>
      <c r="I885" s="5"/>
    </row>
    <row r="886" spans="4:9" ht="15.75" customHeight="1">
      <c r="D886" s="5"/>
      <c r="H886" s="5"/>
      <c r="I886" s="5"/>
    </row>
    <row r="887" spans="4:9" ht="15.75" customHeight="1">
      <c r="D887" s="5"/>
      <c r="H887" s="5"/>
      <c r="I887" s="5"/>
    </row>
    <row r="888" spans="4:9" ht="15.75" customHeight="1">
      <c r="D888" s="5"/>
      <c r="H888" s="5"/>
      <c r="I888" s="5"/>
    </row>
    <row r="889" spans="4:9" ht="15.75" customHeight="1">
      <c r="D889" s="5"/>
      <c r="H889" s="5"/>
      <c r="I889" s="5"/>
    </row>
    <row r="890" spans="4:9" ht="15.75" customHeight="1">
      <c r="D890" s="5"/>
      <c r="H890" s="5"/>
      <c r="I890" s="5"/>
    </row>
    <row r="891" spans="4:9" ht="15.75" customHeight="1">
      <c r="D891" s="5"/>
      <c r="H891" s="5"/>
      <c r="I891" s="5"/>
    </row>
    <row r="892" spans="4:9" ht="15.75" customHeight="1">
      <c r="D892" s="5"/>
      <c r="H892" s="5"/>
      <c r="I892" s="5"/>
    </row>
    <row r="893" spans="4:9" ht="15.75" customHeight="1">
      <c r="D893" s="5"/>
      <c r="H893" s="5"/>
      <c r="I893" s="5"/>
    </row>
    <row r="894" spans="4:9" ht="15.75" customHeight="1">
      <c r="D894" s="5"/>
      <c r="H894" s="5"/>
      <c r="I894" s="5"/>
    </row>
    <row r="895" spans="4:9" ht="15.75" customHeight="1">
      <c r="D895" s="5"/>
      <c r="H895" s="5"/>
      <c r="I895" s="5"/>
    </row>
    <row r="896" spans="4:9" ht="15.75" customHeight="1">
      <c r="D896" s="5"/>
      <c r="H896" s="5"/>
      <c r="I896" s="5"/>
    </row>
    <row r="897" spans="4:9" ht="15.75" customHeight="1">
      <c r="D897" s="5"/>
      <c r="H897" s="5"/>
      <c r="I897" s="5"/>
    </row>
    <row r="898" spans="4:9" ht="15.75" customHeight="1">
      <c r="D898" s="5"/>
      <c r="H898" s="5"/>
      <c r="I898" s="5"/>
    </row>
    <row r="899" spans="4:9" ht="15.75" customHeight="1">
      <c r="D899" s="5"/>
      <c r="H899" s="5"/>
      <c r="I899" s="5"/>
    </row>
    <row r="900" spans="4:9" ht="15.75" customHeight="1">
      <c r="D900" s="5"/>
      <c r="H900" s="5"/>
      <c r="I900" s="5"/>
    </row>
    <row r="901" spans="4:9" ht="15.75" customHeight="1">
      <c r="D901" s="5"/>
      <c r="H901" s="5"/>
      <c r="I901" s="5"/>
    </row>
    <row r="902" spans="4:9" ht="15.75" customHeight="1">
      <c r="D902" s="5"/>
      <c r="H902" s="5"/>
      <c r="I902" s="5"/>
    </row>
    <row r="903" spans="4:9" ht="15.75" customHeight="1">
      <c r="D903" s="5"/>
      <c r="H903" s="5"/>
      <c r="I903" s="5"/>
    </row>
    <row r="904" spans="4:9" ht="15.75" customHeight="1">
      <c r="D904" s="5"/>
      <c r="H904" s="5"/>
      <c r="I904" s="5"/>
    </row>
    <row r="905" spans="4:9" ht="15.75" customHeight="1">
      <c r="D905" s="5"/>
      <c r="H905" s="5"/>
      <c r="I905" s="5"/>
    </row>
    <row r="906" spans="4:9" ht="15.75" customHeight="1">
      <c r="D906" s="5"/>
      <c r="H906" s="5"/>
      <c r="I906" s="5"/>
    </row>
    <row r="907" spans="4:9" ht="15.75" customHeight="1">
      <c r="D907" s="5"/>
      <c r="H907" s="5"/>
      <c r="I907" s="5"/>
    </row>
    <row r="908" spans="4:9" ht="15.75" customHeight="1">
      <c r="D908" s="5"/>
      <c r="H908" s="5"/>
      <c r="I908" s="5"/>
    </row>
    <row r="909" spans="4:9" ht="15.75" customHeight="1">
      <c r="D909" s="5"/>
      <c r="H909" s="5"/>
      <c r="I909" s="5"/>
    </row>
    <row r="910" spans="4:9" ht="15.75" customHeight="1">
      <c r="D910" s="5"/>
      <c r="H910" s="5"/>
      <c r="I910" s="5"/>
    </row>
    <row r="911" spans="4:9" ht="15.75" customHeight="1">
      <c r="D911" s="5"/>
      <c r="H911" s="5"/>
      <c r="I911" s="5"/>
    </row>
    <row r="912" spans="4:9" ht="15.75" customHeight="1">
      <c r="D912" s="5"/>
      <c r="H912" s="5"/>
      <c r="I912" s="5"/>
    </row>
    <row r="913" spans="4:9" ht="15.75" customHeight="1">
      <c r="D913" s="5"/>
      <c r="H913" s="5"/>
      <c r="I913" s="5"/>
    </row>
    <row r="914" spans="4:9" ht="15.75" customHeight="1">
      <c r="D914" s="5"/>
      <c r="H914" s="5"/>
      <c r="I914" s="5"/>
    </row>
    <row r="915" spans="4:9" ht="15.75" customHeight="1">
      <c r="D915" s="5"/>
      <c r="H915" s="5"/>
      <c r="I915" s="5"/>
    </row>
    <row r="916" spans="4:9" ht="15.75" customHeight="1">
      <c r="D916" s="5"/>
      <c r="H916" s="5"/>
      <c r="I916" s="5"/>
    </row>
    <row r="917" spans="4:9" ht="15.75" customHeight="1">
      <c r="D917" s="5"/>
      <c r="H917" s="5"/>
      <c r="I917" s="5"/>
    </row>
    <row r="918" spans="4:9" ht="15.75" customHeight="1">
      <c r="D918" s="5"/>
      <c r="H918" s="5"/>
      <c r="I918" s="5"/>
    </row>
    <row r="919" spans="4:9" ht="15.75" customHeight="1">
      <c r="D919" s="5"/>
      <c r="H919" s="5"/>
      <c r="I919" s="5"/>
    </row>
    <row r="920" spans="4:9" ht="15.75" customHeight="1">
      <c r="D920" s="5"/>
      <c r="H920" s="5"/>
      <c r="I920" s="5"/>
    </row>
    <row r="921" spans="4:9" ht="15.75" customHeight="1">
      <c r="D921" s="5"/>
      <c r="H921" s="5"/>
      <c r="I921" s="5"/>
    </row>
    <row r="922" spans="4:9" ht="15.75" customHeight="1">
      <c r="D922" s="5"/>
      <c r="H922" s="5"/>
      <c r="I922" s="5"/>
    </row>
    <row r="923" spans="4:9" ht="15.75" customHeight="1">
      <c r="D923" s="5"/>
      <c r="H923" s="5"/>
      <c r="I923" s="5"/>
    </row>
    <row r="924" spans="4:9" ht="15.75" customHeight="1">
      <c r="D924" s="5"/>
      <c r="H924" s="5"/>
      <c r="I924" s="5"/>
    </row>
    <row r="925" spans="4:9" ht="15.75" customHeight="1">
      <c r="D925" s="5"/>
      <c r="H925" s="5"/>
      <c r="I925" s="5"/>
    </row>
    <row r="926" spans="4:9" ht="15.75" customHeight="1">
      <c r="D926" s="5"/>
      <c r="H926" s="5"/>
      <c r="I926" s="5"/>
    </row>
    <row r="927" spans="4:9" ht="15.75" customHeight="1">
      <c r="D927" s="5"/>
      <c r="H927" s="5"/>
      <c r="I927" s="5"/>
    </row>
    <row r="928" spans="4:9" ht="15.75" customHeight="1">
      <c r="D928" s="5"/>
      <c r="H928" s="5"/>
      <c r="I928" s="5"/>
    </row>
    <row r="929" spans="4:9" ht="15.75" customHeight="1">
      <c r="D929" s="5"/>
      <c r="H929" s="5"/>
      <c r="I929" s="5"/>
    </row>
    <row r="930" spans="4:9" ht="15.75" customHeight="1">
      <c r="D930" s="5"/>
      <c r="H930" s="5"/>
      <c r="I930" s="5"/>
    </row>
    <row r="931" spans="4:9" ht="15.75" customHeight="1">
      <c r="D931" s="5"/>
      <c r="H931" s="5"/>
      <c r="I931" s="5"/>
    </row>
    <row r="932" spans="4:9" ht="15.75" customHeight="1">
      <c r="D932" s="5"/>
      <c r="H932" s="5"/>
      <c r="I932" s="5"/>
    </row>
    <row r="933" spans="4:9" ht="15.75" customHeight="1">
      <c r="D933" s="5"/>
      <c r="H933" s="5"/>
      <c r="I933" s="5"/>
    </row>
    <row r="934" spans="4:9" ht="15.75" customHeight="1">
      <c r="D934" s="5"/>
      <c r="H934" s="5"/>
      <c r="I934" s="5"/>
    </row>
    <row r="935" spans="4:9" ht="15.75" customHeight="1">
      <c r="D935" s="5"/>
      <c r="H935" s="5"/>
      <c r="I935" s="5"/>
    </row>
    <row r="936" spans="4:9" ht="15.75" customHeight="1">
      <c r="D936" s="5"/>
      <c r="H936" s="5"/>
      <c r="I936" s="5"/>
    </row>
    <row r="937" spans="4:9" ht="15.75" customHeight="1">
      <c r="D937" s="5"/>
      <c r="H937" s="5"/>
      <c r="I937" s="5"/>
    </row>
    <row r="938" spans="4:9" ht="15.75" customHeight="1">
      <c r="D938" s="5"/>
      <c r="H938" s="5"/>
      <c r="I938" s="5"/>
    </row>
    <row r="939" spans="4:9" ht="15.75" customHeight="1">
      <c r="D939" s="5"/>
      <c r="H939" s="5"/>
      <c r="I939" s="5"/>
    </row>
    <row r="940" spans="4:9" ht="15.75" customHeight="1">
      <c r="D940" s="5"/>
      <c r="H940" s="5"/>
      <c r="I940" s="5"/>
    </row>
    <row r="941" spans="4:9" ht="15.75" customHeight="1">
      <c r="D941" s="5"/>
      <c r="H941" s="5"/>
      <c r="I941" s="5"/>
    </row>
    <row r="942" spans="4:9" ht="15.75" customHeight="1">
      <c r="D942" s="5"/>
      <c r="H942" s="5"/>
      <c r="I942" s="5"/>
    </row>
    <row r="943" spans="4:9" ht="15.75" customHeight="1">
      <c r="D943" s="5"/>
      <c r="H943" s="5"/>
      <c r="I943" s="5"/>
    </row>
    <row r="944" spans="4:9" ht="15.75" customHeight="1">
      <c r="D944" s="5"/>
      <c r="H944" s="5"/>
      <c r="I944" s="5"/>
    </row>
    <row r="945" spans="4:9" ht="15.75" customHeight="1">
      <c r="D945" s="5"/>
      <c r="H945" s="5"/>
      <c r="I945" s="5"/>
    </row>
    <row r="946" spans="4:9" ht="15.75" customHeight="1">
      <c r="D946" s="5"/>
      <c r="H946" s="5"/>
      <c r="I946" s="5"/>
    </row>
    <row r="947" spans="4:9" ht="15.75" customHeight="1">
      <c r="D947" s="5"/>
      <c r="H947" s="5"/>
      <c r="I947" s="5"/>
    </row>
    <row r="948" spans="4:9" ht="15.75" customHeight="1">
      <c r="D948" s="5"/>
      <c r="H948" s="5"/>
      <c r="I948" s="5"/>
    </row>
    <row r="949" spans="4:9" ht="15.75" customHeight="1">
      <c r="D949" s="5"/>
      <c r="H949" s="5"/>
      <c r="I949" s="5"/>
    </row>
    <row r="950" spans="4:9" ht="15.75" customHeight="1">
      <c r="D950" s="5"/>
      <c r="H950" s="5"/>
      <c r="I950" s="5"/>
    </row>
    <row r="951" spans="4:9" ht="15.75" customHeight="1">
      <c r="D951" s="5"/>
      <c r="H951" s="5"/>
      <c r="I951" s="5"/>
    </row>
    <row r="952" spans="4:9" ht="15.75" customHeight="1">
      <c r="D952" s="5"/>
      <c r="H952" s="5"/>
      <c r="I952" s="5"/>
    </row>
    <row r="953" spans="4:9" ht="15.75" customHeight="1">
      <c r="D953" s="5"/>
      <c r="H953" s="5"/>
      <c r="I953" s="5"/>
    </row>
    <row r="954" spans="4:9" ht="15.75" customHeight="1">
      <c r="D954" s="5"/>
      <c r="H954" s="5"/>
      <c r="I954" s="5"/>
    </row>
    <row r="955" spans="4:9" ht="15.75" customHeight="1">
      <c r="D955" s="5"/>
      <c r="H955" s="5"/>
      <c r="I955" s="5"/>
    </row>
    <row r="956" spans="4:9" ht="15.75" customHeight="1">
      <c r="D956" s="5"/>
      <c r="H956" s="5"/>
      <c r="I956" s="5"/>
    </row>
    <row r="957" spans="4:9" ht="15.75" customHeight="1">
      <c r="D957" s="5"/>
      <c r="H957" s="5"/>
      <c r="I957" s="5"/>
    </row>
    <row r="958" spans="4:9" ht="15.75" customHeight="1">
      <c r="D958" s="5"/>
      <c r="H958" s="5"/>
      <c r="I958" s="5"/>
    </row>
    <row r="959" spans="4:9" ht="15.75" customHeight="1">
      <c r="D959" s="5"/>
      <c r="H959" s="5"/>
      <c r="I959" s="5"/>
    </row>
    <row r="960" spans="4:9" ht="15.75" customHeight="1">
      <c r="D960" s="5"/>
      <c r="H960" s="5"/>
      <c r="I960" s="5"/>
    </row>
    <row r="961" spans="4:9" ht="15.75" customHeight="1">
      <c r="D961" s="5"/>
      <c r="H961" s="5"/>
      <c r="I961" s="5"/>
    </row>
    <row r="962" spans="4:9" ht="15.75" customHeight="1">
      <c r="D962" s="5"/>
      <c r="H962" s="5"/>
      <c r="I962" s="5"/>
    </row>
    <row r="963" spans="4:9" ht="15.75" customHeight="1">
      <c r="D963" s="5"/>
      <c r="H963" s="5"/>
      <c r="I963" s="5"/>
    </row>
    <row r="964" spans="4:9" ht="15.75" customHeight="1">
      <c r="D964" s="5"/>
      <c r="H964" s="5"/>
      <c r="I964" s="5"/>
    </row>
    <row r="965" spans="4:9" ht="15.75" customHeight="1">
      <c r="D965" s="5"/>
      <c r="H965" s="5"/>
      <c r="I965" s="5"/>
    </row>
    <row r="966" spans="4:9" ht="15.75" customHeight="1">
      <c r="D966" s="5"/>
      <c r="H966" s="5"/>
      <c r="I966" s="5"/>
    </row>
    <row r="967" spans="4:9" ht="15.75" customHeight="1">
      <c r="D967" s="5"/>
      <c r="H967" s="5"/>
      <c r="I967" s="5"/>
    </row>
    <row r="968" spans="4:9" ht="15.75" customHeight="1">
      <c r="D968" s="5"/>
      <c r="H968" s="5"/>
      <c r="I968" s="5"/>
    </row>
    <row r="969" spans="4:9" ht="15.75" customHeight="1">
      <c r="D969" s="5"/>
      <c r="H969" s="5"/>
      <c r="I969" s="5"/>
    </row>
    <row r="970" spans="4:9" ht="15.75" customHeight="1">
      <c r="D970" s="5"/>
      <c r="H970" s="5"/>
      <c r="I970" s="5"/>
    </row>
    <row r="971" spans="4:9" ht="15.75" customHeight="1">
      <c r="D971" s="5"/>
      <c r="H971" s="5"/>
      <c r="I971" s="5"/>
    </row>
    <row r="972" spans="4:9" ht="15.75" customHeight="1">
      <c r="D972" s="5"/>
      <c r="H972" s="5"/>
      <c r="I972" s="5"/>
    </row>
    <row r="973" spans="4:9" ht="15.75" customHeight="1">
      <c r="D973" s="5"/>
      <c r="H973" s="5"/>
      <c r="I973" s="5"/>
    </row>
    <row r="974" spans="4:9" ht="15.75" customHeight="1">
      <c r="D974" s="5"/>
      <c r="H974" s="5"/>
      <c r="I974" s="5"/>
    </row>
    <row r="975" spans="4:9" ht="15.75" customHeight="1">
      <c r="D975" s="5"/>
      <c r="H975" s="5"/>
      <c r="I975" s="5"/>
    </row>
    <row r="976" spans="4:9" ht="15.75" customHeight="1">
      <c r="D976" s="5"/>
      <c r="H976" s="5"/>
      <c r="I976" s="5"/>
    </row>
    <row r="977" spans="4:9" ht="15.75" customHeight="1">
      <c r="D977" s="5"/>
      <c r="H977" s="5"/>
      <c r="I977" s="5"/>
    </row>
    <row r="978" spans="4:9" ht="15.75" customHeight="1">
      <c r="D978" s="5"/>
      <c r="H978" s="5"/>
      <c r="I978" s="5"/>
    </row>
    <row r="979" spans="4:9" ht="15.75" customHeight="1">
      <c r="D979" s="5"/>
      <c r="H979" s="5"/>
      <c r="I979" s="5"/>
    </row>
    <row r="980" spans="4:9" ht="15.75" customHeight="1">
      <c r="D980" s="5"/>
      <c r="H980" s="5"/>
      <c r="I980" s="5"/>
    </row>
    <row r="981" spans="4:9" ht="15.75" customHeight="1">
      <c r="D981" s="5"/>
      <c r="H981" s="5"/>
      <c r="I981" s="5"/>
    </row>
    <row r="982" spans="4:9" ht="15.75" customHeight="1">
      <c r="D982" s="5"/>
      <c r="H982" s="5"/>
      <c r="I982" s="5"/>
    </row>
    <row r="983" spans="4:9" ht="15.75" customHeight="1">
      <c r="D983" s="5"/>
      <c r="H983" s="5"/>
      <c r="I983" s="5"/>
    </row>
    <row r="984" spans="4:9" ht="15.75" customHeight="1">
      <c r="D984" s="5"/>
      <c r="H984" s="5"/>
      <c r="I984" s="5"/>
    </row>
    <row r="985" spans="4:9" ht="15.75" customHeight="1">
      <c r="D985" s="5"/>
      <c r="H985" s="5"/>
      <c r="I985" s="5"/>
    </row>
    <row r="986" spans="4:9" ht="15.75" customHeight="1">
      <c r="D986" s="5"/>
      <c r="H986" s="5"/>
      <c r="I986" s="5"/>
    </row>
    <row r="987" spans="4:9" ht="15.75" customHeight="1">
      <c r="D987" s="5"/>
      <c r="H987" s="5"/>
      <c r="I987" s="5"/>
    </row>
    <row r="988" spans="4:9" ht="15.75" customHeight="1">
      <c r="D988" s="5"/>
      <c r="H988" s="5"/>
      <c r="I988" s="5"/>
    </row>
    <row r="989" spans="4:9" ht="15.75" customHeight="1">
      <c r="D989" s="5"/>
      <c r="H989" s="5"/>
      <c r="I989" s="5"/>
    </row>
    <row r="990" spans="4:9" ht="15.75" customHeight="1">
      <c r="D990" s="5"/>
      <c r="H990" s="5"/>
      <c r="I990" s="5"/>
    </row>
    <row r="991" spans="4:9" ht="15.75" customHeight="1">
      <c r="D991" s="5"/>
      <c r="H991" s="5"/>
      <c r="I991" s="5"/>
    </row>
    <row r="992" spans="4:9" ht="15.75" customHeight="1">
      <c r="D992" s="5"/>
      <c r="H992" s="5"/>
      <c r="I992" s="5"/>
    </row>
    <row r="993" spans="4:9" ht="15.75" customHeight="1">
      <c r="D993" s="5"/>
      <c r="H993" s="5"/>
      <c r="I993" s="5"/>
    </row>
    <row r="994" spans="4:9" ht="15.75" customHeight="1">
      <c r="D994" s="5"/>
      <c r="H994" s="5"/>
      <c r="I994" s="5"/>
    </row>
    <row r="995" spans="4:9" ht="15.75" customHeight="1">
      <c r="D995" s="5"/>
      <c r="H995" s="5"/>
      <c r="I995" s="5"/>
    </row>
    <row r="996" spans="4:9" ht="15.75" customHeight="1">
      <c r="D996" s="5"/>
      <c r="H996" s="5"/>
      <c r="I996" s="5"/>
    </row>
    <row r="997" spans="4:9" ht="15.75" customHeight="1">
      <c r="D997" s="5"/>
      <c r="H997" s="5"/>
      <c r="I997" s="5"/>
    </row>
    <row r="998" spans="4:9" ht="15.75" customHeight="1">
      <c r="D998" s="5"/>
      <c r="H998" s="5"/>
      <c r="I998" s="5"/>
    </row>
    <row r="999" spans="4:9" ht="15.75" customHeight="1">
      <c r="D999" s="5"/>
      <c r="H999" s="5"/>
      <c r="I999" s="5"/>
    </row>
    <row r="1000" spans="4:9" ht="15.75" customHeight="1">
      <c r="D1000" s="5"/>
      <c r="H1000" s="5"/>
      <c r="I1000" s="5"/>
    </row>
    <row r="1001" spans="4:9" ht="15.75" customHeight="1">
      <c r="D1001" s="5"/>
      <c r="H1001" s="5"/>
      <c r="I1001" s="5"/>
    </row>
    <row r="1002" spans="4:9" ht="15.75" customHeight="1">
      <c r="D1002" s="5"/>
      <c r="H1002" s="5"/>
      <c r="I1002" s="5"/>
    </row>
    <row r="1003" spans="4:9" ht="15.75" customHeight="1">
      <c r="D1003" s="5"/>
      <c r="H1003" s="5"/>
      <c r="I1003" s="5"/>
    </row>
    <row r="1004" spans="4:9" ht="15.75" customHeight="1">
      <c r="D1004" s="5"/>
      <c r="H1004" s="5"/>
      <c r="I1004" s="5"/>
    </row>
    <row r="1005" spans="4:9" ht="15.75" customHeight="1">
      <c r="D1005" s="5"/>
      <c r="H1005" s="5"/>
      <c r="I1005" s="5"/>
    </row>
    <row r="1006" spans="4:9" ht="15.75" customHeight="1">
      <c r="D1006" s="5"/>
      <c r="H1006" s="5"/>
      <c r="I1006" s="5"/>
    </row>
  </sheetData>
  <sheetProtection algorithmName="SHA-512" hashValue="oMnGBBQbSpYSbt/fv66QQidYA4ys7UiAO0guCB4cXnLIpWZ3ujq3qNb7hI9aU15HE93Fs9+52uO4+UlyMtnJvA==" saltValue="sQneOFW9edsLsikRfoj7Vg==" spinCount="100000" sheet="1" scenarios="1" formatCells="0" formatColumns="0" formatRows="0" insertColumns="0" insertRows="0" insertHyperlinks="0" sort="0" autoFilter="0" pivotTables="0"/>
  <mergeCells count="3">
    <mergeCell ref="A7:C7"/>
    <mergeCell ref="A14:C14"/>
    <mergeCell ref="A41:C41"/>
  </mergeCells>
  <hyperlinks>
    <hyperlink ref="F55" r:id="rId1" location="sec0017" display="https://www.sciencedirect.com/science/article/pii/S266727822300072X?via%3Dihub#sec0017" xr:uid="{00000000-0004-0000-0000-000003000000}"/>
    <hyperlink ref="I55" r:id="rId2" display="https://www.intcomedical.com/news/info/INTCO-Medical-Achieves-Dual-LCA-Carbon-Footprint-Certifications.html" xr:uid="{00000000-0004-0000-0000-000004000000}"/>
    <hyperlink ref="F56" r:id="rId3" display="https://journals.sagepub.com/doi/10.1177/01410768211001583" xr:uid="{00000000-0004-0000-0000-000005000000}"/>
    <hyperlink ref="I56" r:id="rId4" display="https://sustain.ubc.ca/sites/default/files/seedslibrary/BEST_402_Nitrile%20Glove%20LCA_Final%20Report.pdf" xr:uid="{00000000-0004-0000-0000-000006000000}"/>
    <hyperlink ref="L56" r:id="rId5" display="https://discovery.ucl.ac.uk/id/eprint/10139239/3/Ashley_LCA%20Medical%20Gloves%20manuscript%20JHI%2025N%20copy.pdf" xr:uid="{00000000-0004-0000-0000-000007000000}"/>
    <hyperlink ref="O56" r:id="rId6" display="https://doi.org/10.1016/j.resconrec.2020.104862" xr:uid="{00000000-0004-0000-0000-000008000000}"/>
    <hyperlink ref="F57" r:id="rId7" display="https://discovery.ucl.ac.uk/id/eprint/10139239/3/Ashley_LCA%20Medical%20Gloves%20manuscript%20JHI%2025N%20copy.pdf" xr:uid="{00000000-0004-0000-0000-00000A000000}"/>
    <hyperlink ref="I57" r:id="rId8" display="https://journals.sagepub.com/doi/10.1177/01410768231166135" xr:uid="{00000000-0004-0000-0000-00000B000000}"/>
    <hyperlink ref="F58" r:id="rId9" display="https://shop.wessexcleaning.com/files/ww/product/Traffi%20TD%2002%20PCF%20Assessment%20Complete%20Lifecycle%20_Cradle-to-Grave_%20_5bFINAL_5d%20Report%20-%2003Aug2022.pdf?srsltid=AfmBOoooyyEtruoSpf6JDL1Y8aswOGYCNposqynDN82IkyvZbGj2wjPJ" xr:uid="{00000000-0004-0000-0000-00000C000000}"/>
    <hyperlink ref="I58" r:id="rId10" display="https://doi.org/10.1016/j.resconrec.2020.104862" xr:uid="{00000000-0004-0000-0000-00000D000000}"/>
    <hyperlink ref="L58" r:id="rId11" display="https://discovery.ucl.ac.uk/id/eprint/10139239/3/Ashley_LCA%20Medical%20Gloves%20manuscript%20JHI%2025N%20copy.pdf" xr:uid="{00000000-0004-0000-0000-00000E000000}"/>
    <hyperlink ref="F59" r:id="rId12" display="https://discovery.ucl.ac.uk/id/eprint/10139239/3/Ashley_LCA%20Medical%20Gloves%20manuscript%20JHI%2025N%20copy.pdf" xr:uid="{00000000-0004-0000-0000-00000F000000}"/>
    <hyperlink ref="D32" r:id="rId13" location=":~:text=Clear%20Vinyl%20Examination%20Gloves%2C%20Powder,Mil%2C%20Size%20M:%204.5%20g" display="https://roncosafety.com/product/clear-vinyl-gloves-230/#:~:text=Clear%20Vinyl%20Examination%20Gloves%2C%20Powder,Mil%2C%20Size%20M:%204.5%20g" xr:uid="{00000000-0004-0000-0000-000011000000}"/>
    <hyperlink ref="D33" r:id="rId14" display="https://sustain.ubc.ca/sites/default/files/seedslibrary/BEST_402_Nitrile%20Glove%20LCA_Final%20Report.pdf" xr:uid="{00000000-0004-0000-0000-000012000000}"/>
    <hyperlink ref="D35" r:id="rId15" display="https://glovenation.com/products/high-risk-latex-exam-pf-800" xr:uid="{00000000-0004-0000-0000-000013000000}"/>
    <hyperlink ref="D34" r:id="rId16" xr:uid="{2FD513F2-C253-48A2-86E8-0ADECF6318D5}"/>
    <hyperlink ref="D36" r:id="rId17" xr:uid="{A770FCC8-5ECB-449D-A41E-CCF2AE63A53F}"/>
  </hyperlinks>
  <pageMargins left="0.7" right="0.7" top="0.75" bottom="0.75" header="0" footer="0"/>
  <pageSetup orientation="portrait"/>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0"/>
  <sheetViews>
    <sheetView workbookViewId="0"/>
  </sheetViews>
  <sheetFormatPr defaultColWidth="12.5703125" defaultRowHeight="15" customHeight="1"/>
  <cols>
    <col min="1" max="1" width="63.42578125" customWidth="1"/>
    <col min="2" max="2" width="24.7109375" customWidth="1"/>
    <col min="3" max="3" width="44.140625" customWidth="1"/>
    <col min="4" max="4" width="34.42578125" customWidth="1"/>
    <col min="5" max="6" width="12.5703125" customWidth="1"/>
    <col min="9" max="9" width="15.7109375" customWidth="1"/>
    <col min="10" max="10" width="34.42578125" customWidth="1"/>
  </cols>
  <sheetData>
    <row r="1" spans="1:5" ht="15.75" customHeight="1">
      <c r="A1" s="14" t="s">
        <v>42</v>
      </c>
      <c r="B1" s="26" t="s">
        <v>1</v>
      </c>
      <c r="C1" s="14" t="s">
        <v>2</v>
      </c>
      <c r="D1" s="14" t="s">
        <v>43</v>
      </c>
      <c r="E1" s="4"/>
    </row>
    <row r="2" spans="1:5" ht="15.75" customHeight="1">
      <c r="A2" s="4" t="s">
        <v>44</v>
      </c>
      <c r="B2" s="27">
        <v>600</v>
      </c>
      <c r="C2" s="4" t="s">
        <v>11</v>
      </c>
      <c r="D2" s="28" t="s">
        <v>45</v>
      </c>
      <c r="E2" s="4"/>
    </row>
    <row r="3" spans="1:5" ht="15.75" customHeight="1">
      <c r="A3" s="4" t="s">
        <v>46</v>
      </c>
      <c r="B3" s="27">
        <f>B7/B2</f>
        <v>0.34666666666666668</v>
      </c>
      <c r="C3" s="4" t="s">
        <v>47</v>
      </c>
      <c r="D3" s="14"/>
      <c r="E3" s="4"/>
    </row>
    <row r="4" spans="1:5" ht="15.75" customHeight="1">
      <c r="A4" s="14"/>
      <c r="B4" s="14"/>
      <c r="C4" s="14"/>
      <c r="D4" s="14"/>
      <c r="E4" s="4"/>
    </row>
    <row r="5" spans="1:5" ht="15.75" customHeight="1">
      <c r="A5" s="14" t="s">
        <v>48</v>
      </c>
      <c r="B5" s="14" t="s">
        <v>1</v>
      </c>
      <c r="C5" s="14" t="s">
        <v>2</v>
      </c>
      <c r="D5" s="14" t="s">
        <v>41</v>
      </c>
      <c r="E5" s="4"/>
    </row>
    <row r="6" spans="1:5" ht="15.75" customHeight="1">
      <c r="A6" s="4" t="s">
        <v>49</v>
      </c>
      <c r="B6" s="4">
        <v>1040</v>
      </c>
      <c r="C6" s="4" t="s">
        <v>50</v>
      </c>
      <c r="D6" s="28" t="s">
        <v>51</v>
      </c>
      <c r="E6" s="4"/>
    </row>
    <row r="7" spans="1:5" ht="15.75" customHeight="1">
      <c r="A7" s="4" t="s">
        <v>52</v>
      </c>
      <c r="B7" s="4">
        <f>B6/5</f>
        <v>208</v>
      </c>
      <c r="C7" s="4" t="s">
        <v>53</v>
      </c>
      <c r="E7" s="4"/>
    </row>
    <row r="8" spans="1:5" ht="15.75" customHeight="1">
      <c r="A8" s="4" t="s">
        <v>54</v>
      </c>
      <c r="B8" s="27">
        <f>B7/1000*(H39-D39)</f>
        <v>0.89386544000000001</v>
      </c>
      <c r="C8" s="4" t="s">
        <v>55</v>
      </c>
      <c r="E8" s="4"/>
    </row>
    <row r="9" spans="1:5" ht="15.75" customHeight="1">
      <c r="A9" s="4" t="s">
        <v>56</v>
      </c>
      <c r="B9" s="29">
        <f>(H39-D39)/H39</f>
        <v>0.47839000079037219</v>
      </c>
      <c r="E9" s="4"/>
    </row>
    <row r="10" spans="1:5" ht="15.75" customHeight="1">
      <c r="A10" s="4"/>
      <c r="E10" s="4"/>
    </row>
    <row r="11" spans="1:5" ht="15.75" customHeight="1">
      <c r="A11" s="4" t="s">
        <v>57</v>
      </c>
      <c r="B11" s="30">
        <v>25000</v>
      </c>
      <c r="C11" s="4" t="s">
        <v>11</v>
      </c>
      <c r="D11" s="28" t="s">
        <v>58</v>
      </c>
      <c r="E11" s="4"/>
    </row>
    <row r="12" spans="1:5" ht="15.75" customHeight="1">
      <c r="A12" s="4" t="s">
        <v>59</v>
      </c>
      <c r="B12" s="31">
        <f>B11*B3</f>
        <v>8666.6666666666661</v>
      </c>
      <c r="C12" s="4" t="s">
        <v>60</v>
      </c>
      <c r="D12" s="4" t="s">
        <v>61</v>
      </c>
      <c r="E12" s="4"/>
    </row>
    <row r="13" spans="1:5" ht="15.75" customHeight="1">
      <c r="A13" s="32" t="s">
        <v>62</v>
      </c>
      <c r="B13" s="33">
        <f>B8/B2*B11</f>
        <v>37.244393333333335</v>
      </c>
      <c r="C13" s="34" t="s">
        <v>55</v>
      </c>
      <c r="D13" s="4" t="s">
        <v>63</v>
      </c>
      <c r="E13" s="4"/>
    </row>
    <row r="14" spans="1:5" ht="15.75" customHeight="1">
      <c r="A14" s="14"/>
      <c r="E14" s="4"/>
    </row>
    <row r="15" spans="1:5" ht="15.75" customHeight="1">
      <c r="A15" s="14" t="s">
        <v>64</v>
      </c>
      <c r="E15" s="4"/>
    </row>
    <row r="16" spans="1:5" ht="15.75" customHeight="1">
      <c r="A16" s="4"/>
      <c r="B16" s="14" t="s">
        <v>1</v>
      </c>
      <c r="C16" s="14" t="s">
        <v>2</v>
      </c>
      <c r="D16" s="14" t="s">
        <v>41</v>
      </c>
      <c r="E16" s="4"/>
    </row>
    <row r="17" spans="1:25" ht="15.75" customHeight="1">
      <c r="A17" s="4" t="s">
        <v>65</v>
      </c>
      <c r="B17" s="4">
        <v>12.5</v>
      </c>
      <c r="C17" s="4" t="s">
        <v>66</v>
      </c>
      <c r="D17" s="28" t="s">
        <v>67</v>
      </c>
      <c r="E17" s="4"/>
    </row>
    <row r="18" spans="1:25" ht="15.75" customHeight="1">
      <c r="A18" s="14" t="s">
        <v>68</v>
      </c>
      <c r="B18" s="35">
        <f>B17*250</f>
        <v>3125</v>
      </c>
      <c r="C18" s="4" t="s">
        <v>69</v>
      </c>
      <c r="E18" s="4"/>
    </row>
    <row r="19" spans="1:25" ht="15.75" customHeight="1">
      <c r="A19" s="14" t="s">
        <v>70</v>
      </c>
      <c r="B19" s="4">
        <f>AVERAGE(5.15,5)</f>
        <v>5.0750000000000002</v>
      </c>
      <c r="C19" s="4" t="s">
        <v>71</v>
      </c>
      <c r="D19" s="28" t="s">
        <v>72</v>
      </c>
      <c r="E19" s="4"/>
    </row>
    <row r="20" spans="1:25" ht="15.75" customHeight="1">
      <c r="B20" s="27">
        <f>B19*0.453592</f>
        <v>2.3019794</v>
      </c>
      <c r="C20" s="4" t="s">
        <v>73</v>
      </c>
      <c r="D20" s="4" t="s">
        <v>74</v>
      </c>
      <c r="E20" s="4"/>
    </row>
    <row r="21" spans="1:25" ht="15.75" customHeight="1">
      <c r="A21" s="14" t="s">
        <v>75</v>
      </c>
      <c r="B21" s="35">
        <f>B6*B20</f>
        <v>2394.0585759999999</v>
      </c>
      <c r="C21" s="4" t="s">
        <v>69</v>
      </c>
      <c r="D21" s="36"/>
      <c r="E21" s="36"/>
      <c r="F21" s="36"/>
      <c r="G21" s="36"/>
      <c r="H21" s="36"/>
      <c r="I21" s="36"/>
    </row>
    <row r="22" spans="1:25" ht="15.75" customHeight="1">
      <c r="A22" s="37"/>
      <c r="B22" s="38"/>
      <c r="C22" s="38"/>
      <c r="D22" s="36"/>
      <c r="E22" s="36"/>
      <c r="F22" s="36"/>
      <c r="G22" s="36"/>
      <c r="H22" s="36"/>
      <c r="I22" s="36"/>
    </row>
    <row r="23" spans="1:25" ht="15.75" customHeight="1">
      <c r="A23" s="32" t="s">
        <v>76</v>
      </c>
      <c r="B23" s="39">
        <f>B20*B12</f>
        <v>19950.488133333332</v>
      </c>
      <c r="C23" s="33" t="s">
        <v>11</v>
      </c>
      <c r="D23" s="36"/>
      <c r="E23" s="36"/>
      <c r="F23" s="36"/>
      <c r="G23" s="36"/>
      <c r="H23" s="36"/>
      <c r="I23" s="36"/>
    </row>
    <row r="24" spans="1:25" ht="15.75" customHeight="1">
      <c r="A24" s="37"/>
      <c r="B24" s="38"/>
      <c r="C24" s="38"/>
      <c r="D24" s="36"/>
      <c r="E24" s="36"/>
      <c r="F24" s="36"/>
      <c r="G24" s="36"/>
      <c r="H24" s="36"/>
      <c r="I24" s="36"/>
    </row>
    <row r="25" spans="1:25" ht="15.75" customHeight="1">
      <c r="A25" s="14" t="s">
        <v>77</v>
      </c>
      <c r="B25" s="14" t="s">
        <v>78</v>
      </c>
      <c r="C25" s="14" t="s">
        <v>79</v>
      </c>
      <c r="D25" s="14" t="s">
        <v>80</v>
      </c>
      <c r="E25" s="36"/>
      <c r="F25" s="36"/>
      <c r="G25" s="36"/>
      <c r="H25" s="36"/>
      <c r="I25" s="36"/>
    </row>
    <row r="26" spans="1:25" ht="15.75" customHeight="1">
      <c r="A26" s="4" t="s">
        <v>81</v>
      </c>
      <c r="D26" s="36"/>
      <c r="E26" s="36"/>
      <c r="F26" s="36"/>
      <c r="G26" s="36"/>
      <c r="H26" s="36"/>
      <c r="I26" s="36"/>
    </row>
    <row r="27" spans="1:25" ht="15.75" customHeight="1">
      <c r="A27" s="4" t="s">
        <v>82</v>
      </c>
      <c r="D27" s="36"/>
      <c r="E27" s="36"/>
      <c r="F27" s="36"/>
      <c r="G27" s="36"/>
      <c r="H27" s="36"/>
      <c r="I27" s="36"/>
    </row>
    <row r="28" spans="1:25" ht="15.75" customHeight="1">
      <c r="A28" s="4" t="s">
        <v>83</v>
      </c>
      <c r="D28" s="36"/>
      <c r="E28" s="36"/>
      <c r="F28" s="36"/>
      <c r="G28" s="36"/>
      <c r="H28" s="36"/>
      <c r="I28" s="36"/>
    </row>
    <row r="29" spans="1:25" ht="15.75" customHeight="1">
      <c r="D29" s="36"/>
      <c r="E29" s="36"/>
      <c r="F29" s="36"/>
      <c r="G29" s="36"/>
      <c r="H29" s="36"/>
      <c r="I29" s="36"/>
    </row>
    <row r="30" spans="1:25" ht="15.75" customHeight="1">
      <c r="D30" s="36"/>
      <c r="E30" s="36"/>
      <c r="F30" s="36"/>
      <c r="G30" s="36"/>
      <c r="H30" s="36"/>
      <c r="I30" s="36"/>
    </row>
    <row r="31" spans="1:25" ht="15.75" customHeight="1">
      <c r="A31" s="40" t="s">
        <v>84</v>
      </c>
      <c r="B31" s="41" t="s">
        <v>85</v>
      </c>
      <c r="C31" s="42"/>
      <c r="D31" s="42"/>
      <c r="E31" s="42"/>
      <c r="F31" s="42"/>
      <c r="G31" s="42"/>
      <c r="H31" s="42"/>
      <c r="I31" s="3"/>
      <c r="J31" s="3"/>
      <c r="K31" s="3"/>
      <c r="L31" s="3"/>
      <c r="M31" s="3"/>
      <c r="N31" s="3"/>
      <c r="O31" s="3"/>
      <c r="P31" s="3"/>
      <c r="Q31" s="3"/>
      <c r="R31" s="3"/>
      <c r="S31" s="3"/>
      <c r="T31" s="3"/>
      <c r="U31" s="3"/>
      <c r="V31" s="3"/>
      <c r="W31" s="3"/>
      <c r="X31" s="3"/>
      <c r="Y31" s="3"/>
    </row>
    <row r="32" spans="1:25" ht="15.75" customHeight="1">
      <c r="A32" s="41" t="s">
        <v>86</v>
      </c>
      <c r="B32" s="43">
        <f>4.49</f>
        <v>4.49</v>
      </c>
      <c r="C32" s="36"/>
      <c r="D32" s="36"/>
      <c r="E32" s="36"/>
      <c r="F32" s="36"/>
      <c r="G32" s="36"/>
      <c r="H32" s="36"/>
    </row>
    <row r="33" spans="1:10" ht="15.75" customHeight="1">
      <c r="A33" s="37"/>
      <c r="B33" s="38"/>
      <c r="C33" s="38"/>
      <c r="D33" s="36"/>
      <c r="E33" s="36"/>
      <c r="F33" s="36"/>
      <c r="G33" s="36"/>
      <c r="H33" s="36"/>
      <c r="I33" s="36"/>
    </row>
    <row r="34" spans="1:10" ht="15.75" customHeight="1">
      <c r="A34" s="37"/>
      <c r="B34" s="38"/>
      <c r="C34" s="38"/>
      <c r="D34" s="36"/>
      <c r="E34" s="36"/>
      <c r="F34" s="36"/>
      <c r="G34" s="36"/>
      <c r="H34" s="36"/>
      <c r="I34" s="36"/>
    </row>
    <row r="35" spans="1:10" ht="15.75" customHeight="1">
      <c r="A35" s="37" t="s">
        <v>87</v>
      </c>
      <c r="B35" s="38"/>
      <c r="C35" s="38"/>
      <c r="D35" s="44" t="s">
        <v>88</v>
      </c>
      <c r="E35" s="44" t="s">
        <v>89</v>
      </c>
      <c r="F35" s="44" t="s">
        <v>90</v>
      </c>
      <c r="G35" s="44" t="s">
        <v>91</v>
      </c>
      <c r="H35" s="44" t="s">
        <v>40</v>
      </c>
      <c r="I35" s="45" t="s">
        <v>92</v>
      </c>
      <c r="J35" s="46" t="s">
        <v>93</v>
      </c>
    </row>
    <row r="36" spans="1:10" ht="15.75" customHeight="1">
      <c r="A36" s="47" t="s">
        <v>94</v>
      </c>
      <c r="B36" s="47" t="s">
        <v>95</v>
      </c>
      <c r="C36" s="47" t="s">
        <v>2</v>
      </c>
      <c r="D36" s="48" t="s">
        <v>96</v>
      </c>
      <c r="E36" s="48" t="s">
        <v>96</v>
      </c>
      <c r="F36" s="48" t="s">
        <v>96</v>
      </c>
      <c r="G36" s="48" t="s">
        <v>96</v>
      </c>
      <c r="H36" s="48" t="s">
        <v>96</v>
      </c>
      <c r="I36" s="49" t="s">
        <v>96</v>
      </c>
      <c r="J36" s="50" t="s">
        <v>97</v>
      </c>
    </row>
    <row r="37" spans="1:10" ht="15.75" customHeight="1">
      <c r="A37" s="215" t="s">
        <v>98</v>
      </c>
      <c r="B37" s="48" t="s">
        <v>99</v>
      </c>
      <c r="C37" s="48" t="s">
        <v>100</v>
      </c>
      <c r="D37" s="44">
        <v>4.6856799999999996</v>
      </c>
      <c r="E37" s="44">
        <v>4.6856799999999996</v>
      </c>
      <c r="F37" s="44">
        <v>4.6856799999999996</v>
      </c>
      <c r="G37" s="47"/>
      <c r="H37" s="44">
        <v>8.9831099999999999</v>
      </c>
      <c r="I37" s="51"/>
      <c r="J37" s="46">
        <f t="shared" ref="J37:J40" si="0">H37-D37</f>
        <v>4.2974300000000003</v>
      </c>
    </row>
    <row r="38" spans="1:10" ht="15.75" customHeight="1">
      <c r="A38" s="216"/>
      <c r="B38" s="48" t="s">
        <v>101</v>
      </c>
      <c r="C38" s="48" t="s">
        <v>100</v>
      </c>
      <c r="D38" s="44">
        <v>4.6856799999999996</v>
      </c>
      <c r="E38" s="44">
        <v>4.6856799999999996</v>
      </c>
      <c r="F38" s="44">
        <v>4.6856799999999996</v>
      </c>
      <c r="G38" s="47"/>
      <c r="H38" s="44">
        <v>8.9831099999999999</v>
      </c>
      <c r="I38" s="51"/>
      <c r="J38" s="46">
        <f t="shared" si="0"/>
        <v>4.2974300000000003</v>
      </c>
    </row>
    <row r="39" spans="1:10" ht="15.75" customHeight="1">
      <c r="A39" s="216"/>
      <c r="B39" s="52" t="s">
        <v>102</v>
      </c>
      <c r="C39" s="48" t="s">
        <v>100</v>
      </c>
      <c r="D39" s="44">
        <v>4.6856799999999996</v>
      </c>
      <c r="E39" s="44">
        <v>4.6856799999999996</v>
      </c>
      <c r="F39" s="44">
        <v>4.6856799999999996</v>
      </c>
      <c r="G39" s="47"/>
      <c r="H39" s="44">
        <v>8.9831099999999999</v>
      </c>
      <c r="I39" s="51"/>
      <c r="J39" s="46">
        <f t="shared" si="0"/>
        <v>4.2974300000000003</v>
      </c>
    </row>
    <row r="40" spans="1:10" ht="15.75" customHeight="1">
      <c r="A40" s="217"/>
      <c r="B40" s="48" t="s">
        <v>103</v>
      </c>
      <c r="C40" s="48" t="s">
        <v>100</v>
      </c>
      <c r="D40" s="44">
        <v>4.6856799999999996</v>
      </c>
      <c r="E40" s="44">
        <v>4.6856799999999996</v>
      </c>
      <c r="F40" s="44">
        <v>4.6856799999999996</v>
      </c>
      <c r="G40" s="47"/>
      <c r="H40" s="44">
        <v>8.9831099999999999</v>
      </c>
      <c r="I40" s="51"/>
      <c r="J40" s="46">
        <f t="shared" si="0"/>
        <v>4.2974300000000003</v>
      </c>
    </row>
    <row r="41" spans="1:10" ht="15.75" customHeight="1">
      <c r="E41" s="4"/>
    </row>
    <row r="42" spans="1:10" ht="15.75" customHeight="1">
      <c r="E42" s="4"/>
    </row>
    <row r="43" spans="1:10" ht="15.75" customHeight="1">
      <c r="A43" s="6" t="s">
        <v>104</v>
      </c>
      <c r="B43" s="11" t="s">
        <v>105</v>
      </c>
      <c r="C43" s="7"/>
      <c r="E43" s="4"/>
    </row>
    <row r="44" spans="1:10" ht="15.75" customHeight="1">
      <c r="A44" s="6" t="s">
        <v>106</v>
      </c>
      <c r="B44" s="6" t="s">
        <v>107</v>
      </c>
      <c r="C44" s="6" t="s">
        <v>108</v>
      </c>
      <c r="E44" s="4"/>
    </row>
    <row r="45" spans="1:10" ht="15.75" customHeight="1">
      <c r="A45" s="7" t="s">
        <v>109</v>
      </c>
      <c r="B45" s="7" t="s">
        <v>110</v>
      </c>
      <c r="C45" s="7">
        <v>0.45</v>
      </c>
      <c r="E45" s="4"/>
    </row>
    <row r="46" spans="1:10" ht="15.75" customHeight="1">
      <c r="A46" s="7" t="s">
        <v>111</v>
      </c>
      <c r="B46" s="7" t="s">
        <v>112</v>
      </c>
      <c r="C46" s="7">
        <v>0.25</v>
      </c>
      <c r="E46" s="4"/>
    </row>
    <row r="47" spans="1:10" ht="15.75" customHeight="1">
      <c r="A47" s="7" t="s">
        <v>113</v>
      </c>
      <c r="B47" s="7" t="s">
        <v>114</v>
      </c>
      <c r="C47" s="7">
        <v>0.15</v>
      </c>
      <c r="E47" s="4"/>
    </row>
    <row r="48" spans="1:10" ht="15.75" customHeight="1">
      <c r="A48" s="7" t="s">
        <v>115</v>
      </c>
      <c r="B48" s="7" t="s">
        <v>116</v>
      </c>
      <c r="C48" s="7">
        <v>0.1</v>
      </c>
      <c r="E48" s="4"/>
    </row>
    <row r="49" spans="1:5" ht="15.75" customHeight="1">
      <c r="A49" s="7" t="s">
        <v>117</v>
      </c>
      <c r="B49" s="7" t="s">
        <v>118</v>
      </c>
      <c r="C49" s="7">
        <v>0.05</v>
      </c>
      <c r="E49" s="4"/>
    </row>
    <row r="50" spans="1:5" ht="15.75" customHeight="1">
      <c r="E50" s="4"/>
    </row>
    <row r="51" spans="1:5" ht="15.75" customHeight="1">
      <c r="E51" s="4"/>
    </row>
    <row r="52" spans="1:5" ht="15.75" customHeight="1">
      <c r="E52" s="4"/>
    </row>
    <row r="53" spans="1:5" ht="15.75" customHeight="1">
      <c r="E53" s="4"/>
    </row>
    <row r="54" spans="1:5" ht="15.75" customHeight="1">
      <c r="E54" s="4"/>
    </row>
    <row r="55" spans="1:5" ht="15.75" customHeight="1">
      <c r="E55" s="4"/>
    </row>
    <row r="56" spans="1:5" ht="15.75" customHeight="1">
      <c r="E56" s="4"/>
    </row>
    <row r="57" spans="1:5" ht="15.75" customHeight="1">
      <c r="E57" s="4"/>
    </row>
    <row r="58" spans="1:5" ht="15.75" customHeight="1">
      <c r="E58" s="4"/>
    </row>
    <row r="59" spans="1:5" ht="15.75" customHeight="1">
      <c r="E59" s="4"/>
    </row>
    <row r="60" spans="1:5" ht="15.75" customHeight="1">
      <c r="E60" s="4"/>
    </row>
    <row r="61" spans="1:5" ht="15.75" customHeight="1">
      <c r="E61" s="4"/>
    </row>
    <row r="62" spans="1:5" ht="15.75" customHeight="1">
      <c r="E62" s="4"/>
    </row>
    <row r="63" spans="1:5" ht="15.75" customHeight="1">
      <c r="E63" s="4"/>
    </row>
    <row r="64" spans="1:5" ht="15.75" customHeight="1">
      <c r="E64" s="4"/>
    </row>
    <row r="65" spans="5:5" ht="15.75" customHeight="1">
      <c r="E65" s="4"/>
    </row>
    <row r="66" spans="5:5" ht="15.75" customHeight="1">
      <c r="E66" s="4"/>
    </row>
    <row r="67" spans="5:5" ht="15.75" customHeight="1">
      <c r="E67" s="4"/>
    </row>
    <row r="68" spans="5:5" ht="15.75" customHeight="1">
      <c r="E68" s="4"/>
    </row>
    <row r="69" spans="5:5" ht="15.75" customHeight="1">
      <c r="E69" s="4"/>
    </row>
    <row r="70" spans="5:5" ht="15.75" customHeight="1">
      <c r="E70" s="4"/>
    </row>
    <row r="71" spans="5:5" ht="15.75" customHeight="1">
      <c r="E71" s="4"/>
    </row>
    <row r="72" spans="5:5" ht="15.75" customHeight="1">
      <c r="E72" s="4"/>
    </row>
    <row r="73" spans="5:5" ht="15.75" customHeight="1">
      <c r="E73" s="4"/>
    </row>
    <row r="74" spans="5:5" ht="15.75" customHeight="1">
      <c r="E74" s="4"/>
    </row>
    <row r="75" spans="5:5" ht="15.75" customHeight="1">
      <c r="E75" s="4"/>
    </row>
    <row r="76" spans="5:5" ht="15.75" customHeight="1">
      <c r="E76" s="4"/>
    </row>
    <row r="77" spans="5:5" ht="15.75" customHeight="1">
      <c r="E77" s="4"/>
    </row>
    <row r="78" spans="5:5" ht="15.75" customHeight="1">
      <c r="E78" s="4"/>
    </row>
    <row r="79" spans="5:5" ht="15.75" customHeight="1">
      <c r="E79" s="4"/>
    </row>
    <row r="80" spans="5:5" ht="15.75" customHeight="1">
      <c r="E80" s="4"/>
    </row>
    <row r="81" spans="5:5" ht="15.75" customHeight="1">
      <c r="E81" s="4"/>
    </row>
    <row r="82" spans="5:5" ht="15.75" customHeight="1">
      <c r="E82" s="4"/>
    </row>
    <row r="83" spans="5:5" ht="15.75" customHeight="1">
      <c r="E83" s="4"/>
    </row>
    <row r="84" spans="5:5" ht="15.75" customHeight="1">
      <c r="E84" s="4"/>
    </row>
    <row r="85" spans="5:5" ht="15.75" customHeight="1">
      <c r="E85" s="4"/>
    </row>
    <row r="86" spans="5:5" ht="15.75" customHeight="1">
      <c r="E86" s="4"/>
    </row>
    <row r="87" spans="5:5" ht="15.75" customHeight="1">
      <c r="E87" s="4"/>
    </row>
    <row r="88" spans="5:5" ht="15.75" customHeight="1">
      <c r="E88" s="4"/>
    </row>
    <row r="89" spans="5:5" ht="15.75" customHeight="1">
      <c r="E89" s="4"/>
    </row>
    <row r="90" spans="5:5" ht="15.75" customHeight="1">
      <c r="E90" s="4"/>
    </row>
    <row r="91" spans="5:5" ht="15.75" customHeight="1">
      <c r="E91" s="4"/>
    </row>
    <row r="92" spans="5:5" ht="15.75" customHeight="1">
      <c r="E92" s="4"/>
    </row>
    <row r="93" spans="5:5" ht="15.75" customHeight="1">
      <c r="E93" s="4"/>
    </row>
    <row r="94" spans="5:5" ht="15.75" customHeight="1">
      <c r="E94" s="4"/>
    </row>
    <row r="95" spans="5:5" ht="15.75" customHeight="1">
      <c r="E95" s="4"/>
    </row>
    <row r="96" spans="5:5" ht="15.75" customHeight="1">
      <c r="E96" s="4"/>
    </row>
    <row r="97" spans="5:5" ht="15.75" customHeight="1">
      <c r="E97" s="4"/>
    </row>
    <row r="98" spans="5:5" ht="15.75" customHeight="1">
      <c r="E98" s="4"/>
    </row>
    <row r="99" spans="5:5" ht="15.75" customHeight="1">
      <c r="E99" s="4"/>
    </row>
    <row r="100" spans="5:5" ht="15.75" customHeight="1">
      <c r="E100" s="4"/>
    </row>
    <row r="101" spans="5:5" ht="15.75" customHeight="1">
      <c r="E101" s="4"/>
    </row>
    <row r="102" spans="5:5" ht="15.75" customHeight="1">
      <c r="E102" s="4"/>
    </row>
    <row r="103" spans="5:5" ht="15.75" customHeight="1">
      <c r="E103" s="4"/>
    </row>
    <row r="104" spans="5:5" ht="15.75" customHeight="1">
      <c r="E104" s="4"/>
    </row>
    <row r="105" spans="5:5" ht="15.75" customHeight="1">
      <c r="E105" s="4"/>
    </row>
    <row r="106" spans="5:5" ht="15.75" customHeight="1">
      <c r="E106" s="4"/>
    </row>
    <row r="107" spans="5:5" ht="15.75" customHeight="1">
      <c r="E107" s="4"/>
    </row>
    <row r="108" spans="5:5" ht="15.75" customHeight="1">
      <c r="E108" s="4"/>
    </row>
    <row r="109" spans="5:5" ht="15.75" customHeight="1">
      <c r="E109" s="4"/>
    </row>
    <row r="110" spans="5:5" ht="15.75" customHeight="1">
      <c r="E110" s="4"/>
    </row>
    <row r="111" spans="5:5" ht="15.75" customHeight="1">
      <c r="E111" s="4"/>
    </row>
    <row r="112" spans="5:5" ht="15.75" customHeight="1">
      <c r="E112" s="4"/>
    </row>
    <row r="113" spans="5:5" ht="15.75" customHeight="1">
      <c r="E113" s="4"/>
    </row>
    <row r="114" spans="5:5" ht="15.75" customHeight="1">
      <c r="E114" s="4"/>
    </row>
    <row r="115" spans="5:5" ht="15.75" customHeight="1">
      <c r="E115" s="4"/>
    </row>
    <row r="116" spans="5:5" ht="15.75" customHeight="1">
      <c r="E116" s="4"/>
    </row>
    <row r="117" spans="5:5" ht="15.75" customHeight="1">
      <c r="E117" s="4"/>
    </row>
    <row r="118" spans="5:5" ht="15.75" customHeight="1">
      <c r="E118" s="4"/>
    </row>
    <row r="119" spans="5:5" ht="15.75" customHeight="1">
      <c r="E119" s="4"/>
    </row>
    <row r="120" spans="5:5" ht="15.75" customHeight="1">
      <c r="E120" s="4"/>
    </row>
    <row r="121" spans="5:5" ht="15.75" customHeight="1">
      <c r="E121" s="4"/>
    </row>
    <row r="122" spans="5:5" ht="15.75" customHeight="1">
      <c r="E122" s="4"/>
    </row>
    <row r="123" spans="5:5" ht="15.75" customHeight="1">
      <c r="E123" s="4"/>
    </row>
    <row r="124" spans="5:5" ht="15.75" customHeight="1">
      <c r="E124" s="4"/>
    </row>
    <row r="125" spans="5:5" ht="15.75" customHeight="1">
      <c r="E125" s="4"/>
    </row>
    <row r="126" spans="5:5" ht="15.75" customHeight="1">
      <c r="E126" s="4"/>
    </row>
    <row r="127" spans="5:5" ht="15.75" customHeight="1">
      <c r="E127" s="4"/>
    </row>
    <row r="128" spans="5:5" ht="15.75" customHeight="1">
      <c r="E128" s="4"/>
    </row>
    <row r="129" spans="5:5" ht="15.75" customHeight="1">
      <c r="E129" s="4"/>
    </row>
    <row r="130" spans="5:5" ht="15.75" customHeight="1">
      <c r="E130" s="4"/>
    </row>
    <row r="131" spans="5:5" ht="15.75" customHeight="1">
      <c r="E131" s="4"/>
    </row>
    <row r="132" spans="5:5" ht="15.75" customHeight="1">
      <c r="E132" s="4"/>
    </row>
    <row r="133" spans="5:5" ht="15.75" customHeight="1">
      <c r="E133" s="4"/>
    </row>
    <row r="134" spans="5:5" ht="15.75" customHeight="1">
      <c r="E134" s="4"/>
    </row>
    <row r="135" spans="5:5" ht="15.75" customHeight="1">
      <c r="E135" s="4"/>
    </row>
    <row r="136" spans="5:5" ht="15.75" customHeight="1">
      <c r="E136" s="4"/>
    </row>
    <row r="137" spans="5:5" ht="15.75" customHeight="1">
      <c r="E137" s="4"/>
    </row>
    <row r="138" spans="5:5" ht="15.75" customHeight="1">
      <c r="E138" s="4"/>
    </row>
    <row r="139" spans="5:5" ht="15.75" customHeight="1">
      <c r="E139" s="4"/>
    </row>
    <row r="140" spans="5:5" ht="15.75" customHeight="1">
      <c r="E140" s="4"/>
    </row>
    <row r="141" spans="5:5" ht="15.75" customHeight="1">
      <c r="E141" s="4"/>
    </row>
    <row r="142" spans="5:5" ht="15.75" customHeight="1">
      <c r="E142" s="4"/>
    </row>
    <row r="143" spans="5:5" ht="15.75" customHeight="1">
      <c r="E143" s="4"/>
    </row>
    <row r="144" spans="5:5" ht="15.75" customHeight="1">
      <c r="E144" s="4"/>
    </row>
    <row r="145" spans="5:5" ht="15.75" customHeight="1">
      <c r="E145" s="4"/>
    </row>
    <row r="146" spans="5:5" ht="15.75" customHeight="1">
      <c r="E146" s="4"/>
    </row>
    <row r="147" spans="5:5" ht="15.75" customHeight="1">
      <c r="E147" s="4"/>
    </row>
    <row r="148" spans="5:5" ht="15.75" customHeight="1">
      <c r="E148" s="4"/>
    </row>
    <row r="149" spans="5:5" ht="15.75" customHeight="1">
      <c r="E149" s="4"/>
    </row>
    <row r="150" spans="5:5" ht="15.75" customHeight="1">
      <c r="E150" s="4"/>
    </row>
    <row r="151" spans="5:5" ht="15.75" customHeight="1">
      <c r="E151" s="4"/>
    </row>
    <row r="152" spans="5:5" ht="15.75" customHeight="1">
      <c r="E152" s="4"/>
    </row>
    <row r="153" spans="5:5" ht="15.75" customHeight="1">
      <c r="E153" s="4"/>
    </row>
    <row r="154" spans="5:5" ht="15.75" customHeight="1">
      <c r="E154" s="4"/>
    </row>
    <row r="155" spans="5:5" ht="15.75" customHeight="1">
      <c r="E155" s="4"/>
    </row>
    <row r="156" spans="5:5" ht="15.75" customHeight="1">
      <c r="E156" s="4"/>
    </row>
    <row r="157" spans="5:5" ht="15.75" customHeight="1">
      <c r="E157" s="4"/>
    </row>
    <row r="158" spans="5:5" ht="15.75" customHeight="1">
      <c r="E158" s="4"/>
    </row>
    <row r="159" spans="5:5" ht="15.75" customHeight="1">
      <c r="E159" s="4"/>
    </row>
    <row r="160" spans="5:5" ht="15.75" customHeight="1">
      <c r="E160" s="4"/>
    </row>
    <row r="161" spans="5:5" ht="15.75" customHeight="1">
      <c r="E161" s="4"/>
    </row>
    <row r="162" spans="5:5" ht="15.75" customHeight="1">
      <c r="E162" s="4"/>
    </row>
    <row r="163" spans="5:5" ht="15.75" customHeight="1">
      <c r="E163" s="4"/>
    </row>
    <row r="164" spans="5:5" ht="15.75" customHeight="1">
      <c r="E164" s="4"/>
    </row>
    <row r="165" spans="5:5" ht="15.75" customHeight="1">
      <c r="E165" s="4"/>
    </row>
    <row r="166" spans="5:5" ht="15.75" customHeight="1">
      <c r="E166" s="4"/>
    </row>
    <row r="167" spans="5:5" ht="15.75" customHeight="1">
      <c r="E167" s="4"/>
    </row>
    <row r="168" spans="5:5" ht="15.75" customHeight="1">
      <c r="E168" s="4"/>
    </row>
    <row r="169" spans="5:5" ht="15.75" customHeight="1">
      <c r="E169" s="4"/>
    </row>
    <row r="170" spans="5:5" ht="15.75" customHeight="1">
      <c r="E170" s="4"/>
    </row>
    <row r="171" spans="5:5" ht="15.75" customHeight="1">
      <c r="E171" s="4"/>
    </row>
    <row r="172" spans="5:5" ht="15.75" customHeight="1">
      <c r="E172" s="4"/>
    </row>
    <row r="173" spans="5:5" ht="15.75" customHeight="1">
      <c r="E173" s="4"/>
    </row>
    <row r="174" spans="5:5" ht="15.75" customHeight="1">
      <c r="E174" s="4"/>
    </row>
    <row r="175" spans="5:5" ht="15.75" customHeight="1">
      <c r="E175" s="4"/>
    </row>
    <row r="176" spans="5:5" ht="15.75" customHeight="1">
      <c r="E176" s="4"/>
    </row>
    <row r="177" spans="5:5" ht="15.75" customHeight="1">
      <c r="E177" s="4"/>
    </row>
    <row r="178" spans="5:5" ht="15.75" customHeight="1">
      <c r="E178" s="4"/>
    </row>
    <row r="179" spans="5:5" ht="15.75" customHeight="1">
      <c r="E179" s="4"/>
    </row>
    <row r="180" spans="5:5" ht="15.75" customHeight="1">
      <c r="E180" s="4"/>
    </row>
    <row r="181" spans="5:5" ht="15.75" customHeight="1">
      <c r="E181" s="4"/>
    </row>
    <row r="182" spans="5:5" ht="15.75" customHeight="1">
      <c r="E182" s="4"/>
    </row>
    <row r="183" spans="5:5" ht="15.75" customHeight="1">
      <c r="E183" s="4"/>
    </row>
    <row r="184" spans="5:5" ht="15.75" customHeight="1">
      <c r="E184" s="4"/>
    </row>
    <row r="185" spans="5:5" ht="15.75" customHeight="1">
      <c r="E185" s="4"/>
    </row>
    <row r="186" spans="5:5" ht="15.75" customHeight="1">
      <c r="E186" s="4"/>
    </row>
    <row r="187" spans="5:5" ht="15.75" customHeight="1">
      <c r="E187" s="4"/>
    </row>
    <row r="188" spans="5:5" ht="15.75" customHeight="1">
      <c r="E188" s="4"/>
    </row>
    <row r="189" spans="5:5" ht="15.75" customHeight="1">
      <c r="E189" s="4"/>
    </row>
    <row r="190" spans="5:5" ht="15.75" customHeight="1">
      <c r="E190" s="4"/>
    </row>
    <row r="191" spans="5:5" ht="15.75" customHeight="1">
      <c r="E191" s="4"/>
    </row>
    <row r="192" spans="5:5" ht="15.75" customHeight="1">
      <c r="E192" s="4"/>
    </row>
    <row r="193" spans="5:5" ht="15.75" customHeight="1">
      <c r="E193" s="4"/>
    </row>
    <row r="194" spans="5:5" ht="15.75" customHeight="1">
      <c r="E194" s="4"/>
    </row>
    <row r="195" spans="5:5" ht="15.75" customHeight="1">
      <c r="E195" s="4"/>
    </row>
    <row r="196" spans="5:5" ht="15.75" customHeight="1">
      <c r="E196" s="4"/>
    </row>
    <row r="197" spans="5:5" ht="15.75" customHeight="1">
      <c r="E197" s="4"/>
    </row>
    <row r="198" spans="5:5" ht="15.75" customHeight="1">
      <c r="E198" s="4"/>
    </row>
    <row r="199" spans="5:5" ht="15.75" customHeight="1">
      <c r="E199" s="4"/>
    </row>
    <row r="200" spans="5:5" ht="15.75" customHeight="1">
      <c r="E200" s="4"/>
    </row>
    <row r="201" spans="5:5" ht="15.75" customHeight="1">
      <c r="E201" s="4"/>
    </row>
    <row r="202" spans="5:5" ht="15.75" customHeight="1">
      <c r="E202" s="4"/>
    </row>
    <row r="203" spans="5:5" ht="15.75" customHeight="1">
      <c r="E203" s="4"/>
    </row>
    <row r="204" spans="5:5" ht="15.75" customHeight="1">
      <c r="E204" s="4"/>
    </row>
    <row r="205" spans="5:5" ht="15.75" customHeight="1">
      <c r="E205" s="4"/>
    </row>
    <row r="206" spans="5:5" ht="15.75" customHeight="1">
      <c r="E206" s="4"/>
    </row>
    <row r="207" spans="5:5" ht="15.75" customHeight="1">
      <c r="E207" s="4"/>
    </row>
    <row r="208" spans="5:5" ht="15.75" customHeight="1">
      <c r="E208" s="4"/>
    </row>
    <row r="209" spans="5:5" ht="15.75" customHeight="1">
      <c r="E209" s="4"/>
    </row>
    <row r="210" spans="5:5" ht="15.75" customHeight="1">
      <c r="E210" s="4"/>
    </row>
    <row r="211" spans="5:5" ht="15.75" customHeight="1">
      <c r="E211" s="4"/>
    </row>
    <row r="212" spans="5:5" ht="15.75" customHeight="1">
      <c r="E212" s="4"/>
    </row>
    <row r="213" spans="5:5" ht="15.75" customHeight="1">
      <c r="E213" s="4"/>
    </row>
    <row r="214" spans="5:5" ht="15.75" customHeight="1">
      <c r="E214" s="4"/>
    </row>
    <row r="215" spans="5:5" ht="15.75" customHeight="1">
      <c r="E215" s="4"/>
    </row>
    <row r="216" spans="5:5" ht="15.75" customHeight="1">
      <c r="E216" s="4"/>
    </row>
    <row r="217" spans="5:5" ht="15.75" customHeight="1">
      <c r="E217" s="4"/>
    </row>
    <row r="218" spans="5:5" ht="15.75" customHeight="1">
      <c r="E218" s="4"/>
    </row>
    <row r="219" spans="5:5" ht="15.75" customHeight="1">
      <c r="E219" s="4"/>
    </row>
    <row r="220" spans="5:5" ht="15.75" customHeight="1">
      <c r="E220" s="4"/>
    </row>
    <row r="221" spans="5:5" ht="15.75" customHeight="1">
      <c r="E221" s="4"/>
    </row>
    <row r="222" spans="5:5" ht="15.75" customHeight="1">
      <c r="E222" s="4"/>
    </row>
    <row r="223" spans="5:5" ht="15.75" customHeight="1">
      <c r="E223" s="4"/>
    </row>
    <row r="224" spans="5:5" ht="15.75" customHeight="1">
      <c r="E224" s="4"/>
    </row>
    <row r="225" spans="5:5" ht="15.75" customHeight="1">
      <c r="E225" s="4"/>
    </row>
    <row r="226" spans="5:5" ht="15.75" customHeight="1">
      <c r="E226" s="4"/>
    </row>
    <row r="227" spans="5:5" ht="15.75" customHeight="1">
      <c r="E227" s="4"/>
    </row>
    <row r="228" spans="5:5" ht="15.75" customHeight="1">
      <c r="E228" s="4"/>
    </row>
    <row r="229" spans="5:5" ht="15.75" customHeight="1">
      <c r="E229" s="4"/>
    </row>
    <row r="230" spans="5:5" ht="15.75" customHeight="1">
      <c r="E230" s="4"/>
    </row>
    <row r="231" spans="5:5" ht="15.75" customHeight="1">
      <c r="E231" s="4"/>
    </row>
    <row r="232" spans="5:5" ht="15.75" customHeight="1">
      <c r="E232" s="4"/>
    </row>
    <row r="233" spans="5:5" ht="15.75" customHeight="1">
      <c r="E233" s="4"/>
    </row>
    <row r="234" spans="5:5" ht="15.75" customHeight="1">
      <c r="E234" s="4"/>
    </row>
    <row r="235" spans="5:5" ht="15.75" customHeight="1">
      <c r="E235" s="4"/>
    </row>
    <row r="236" spans="5:5" ht="15.75" customHeight="1">
      <c r="E236" s="4"/>
    </row>
    <row r="237" spans="5:5" ht="15.75" customHeight="1">
      <c r="E237" s="4"/>
    </row>
    <row r="238" spans="5:5" ht="15.75" customHeight="1">
      <c r="E238" s="4"/>
    </row>
    <row r="239" spans="5:5" ht="15.75" customHeight="1">
      <c r="E239" s="4"/>
    </row>
    <row r="240" spans="5:5" ht="15.75" customHeight="1">
      <c r="E240" s="4"/>
    </row>
    <row r="241" spans="5:5" ht="15.75" customHeight="1">
      <c r="E241" s="4"/>
    </row>
    <row r="242" spans="5:5" ht="15.75" customHeight="1">
      <c r="E242" s="4"/>
    </row>
    <row r="243" spans="5:5" ht="15.75" customHeight="1">
      <c r="E243" s="4"/>
    </row>
    <row r="244" spans="5:5" ht="15.75" customHeight="1">
      <c r="E244" s="4"/>
    </row>
    <row r="245" spans="5:5" ht="15.75" customHeight="1">
      <c r="E245" s="4"/>
    </row>
    <row r="246" spans="5:5" ht="15.75" customHeight="1">
      <c r="E246" s="4"/>
    </row>
    <row r="247" spans="5:5" ht="15.75" customHeight="1">
      <c r="E247" s="4"/>
    </row>
    <row r="248" spans="5:5" ht="15.75" customHeight="1">
      <c r="E248" s="4"/>
    </row>
    <row r="249" spans="5:5" ht="15.75" customHeight="1">
      <c r="E249" s="4"/>
    </row>
    <row r="250" spans="5:5" ht="15.75" customHeight="1"/>
    <row r="251" spans="5:5" ht="15.75" customHeight="1"/>
    <row r="252" spans="5:5" ht="15.75" customHeight="1"/>
    <row r="253" spans="5:5" ht="15.75" customHeight="1"/>
    <row r="254" spans="5:5" ht="15.75" customHeight="1"/>
    <row r="255" spans="5:5" ht="15.75" customHeight="1"/>
    <row r="256" spans="5: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7:A40"/>
  </mergeCells>
  <hyperlinks>
    <hyperlink ref="D2" r:id="rId1" xr:uid="{00000000-0004-0000-0100-000000000000}"/>
    <hyperlink ref="D6" r:id="rId2" xr:uid="{00000000-0004-0000-0100-000001000000}"/>
    <hyperlink ref="D11" r:id="rId3" xr:uid="{00000000-0004-0000-0100-000002000000}"/>
    <hyperlink ref="D17" r:id="rId4" xr:uid="{00000000-0004-0000-0100-000003000000}"/>
    <hyperlink ref="D19" r:id="rId5" xr:uid="{00000000-0004-0000-0100-000004000000}"/>
    <hyperlink ref="B43" r:id="rId6" xr:uid="{00000000-0004-0000-0100-000005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1000"/>
  <sheetViews>
    <sheetView workbookViewId="0"/>
  </sheetViews>
  <sheetFormatPr defaultColWidth="12.5703125" defaultRowHeight="15" customHeight="1"/>
  <cols>
    <col min="1" max="1" width="24.42578125" customWidth="1"/>
    <col min="2" max="2" width="11.85546875" customWidth="1"/>
    <col min="3" max="3" width="19.28515625" customWidth="1"/>
    <col min="4" max="4" width="20.42578125" customWidth="1"/>
    <col min="5" max="5" width="15.5703125" customWidth="1"/>
    <col min="6" max="6" width="16.42578125" customWidth="1"/>
    <col min="8" max="8" width="27.140625" customWidth="1"/>
    <col min="9" max="9" width="25.85546875" customWidth="1"/>
    <col min="10" max="10" width="48.140625" customWidth="1"/>
    <col min="11" max="11" width="47.42578125" customWidth="1"/>
  </cols>
  <sheetData>
    <row r="1" spans="1:29" ht="15.75" customHeight="1">
      <c r="A1" s="53" t="s">
        <v>119</v>
      </c>
      <c r="B1" s="54"/>
      <c r="C1" s="54"/>
      <c r="D1" s="54"/>
      <c r="E1" s="54"/>
      <c r="F1" s="54"/>
      <c r="G1" s="54"/>
      <c r="J1" s="54"/>
      <c r="K1" s="54"/>
      <c r="L1" s="54"/>
      <c r="M1" s="54"/>
      <c r="N1" s="54"/>
      <c r="O1" s="54"/>
      <c r="P1" s="54"/>
      <c r="Q1" s="54"/>
      <c r="R1" s="54"/>
      <c r="S1" s="54"/>
      <c r="T1" s="54"/>
      <c r="U1" s="54"/>
      <c r="V1" s="54"/>
      <c r="W1" s="54"/>
      <c r="X1" s="54"/>
      <c r="Y1" s="54"/>
      <c r="Z1" s="54"/>
      <c r="AA1" s="54"/>
      <c r="AB1" s="54"/>
      <c r="AC1" s="54"/>
    </row>
    <row r="2" spans="1:29" ht="15.75" customHeight="1">
      <c r="A2" s="55" t="s">
        <v>120</v>
      </c>
      <c r="B2" s="56">
        <v>1.9770000000000001</v>
      </c>
      <c r="C2" s="54"/>
      <c r="D2" s="54"/>
      <c r="E2" s="54"/>
      <c r="F2" s="54"/>
      <c r="G2" s="54"/>
      <c r="J2" s="54"/>
      <c r="K2" s="54"/>
      <c r="L2" s="54"/>
      <c r="M2" s="54"/>
      <c r="N2" s="54"/>
      <c r="O2" s="54"/>
      <c r="P2" s="54"/>
      <c r="Q2" s="54"/>
      <c r="R2" s="54"/>
      <c r="S2" s="54"/>
      <c r="T2" s="54"/>
      <c r="U2" s="54"/>
      <c r="V2" s="54"/>
      <c r="W2" s="54"/>
      <c r="X2" s="54"/>
      <c r="Y2" s="54"/>
      <c r="Z2" s="54"/>
      <c r="AA2" s="54"/>
      <c r="AB2" s="54"/>
      <c r="AC2" s="54"/>
    </row>
    <row r="3" spans="1:29" ht="15.75" customHeight="1">
      <c r="A3" s="55" t="s">
        <v>121</v>
      </c>
      <c r="B3" s="56">
        <v>273</v>
      </c>
      <c r="C3" s="54"/>
      <c r="D3" s="54"/>
      <c r="E3" s="54"/>
      <c r="F3" s="54"/>
      <c r="G3" s="54"/>
      <c r="J3" s="54"/>
      <c r="K3" s="54"/>
      <c r="L3" s="54"/>
      <c r="M3" s="54"/>
      <c r="N3" s="54"/>
      <c r="O3" s="54"/>
      <c r="P3" s="54"/>
      <c r="Q3" s="54"/>
      <c r="R3" s="54"/>
      <c r="S3" s="54"/>
      <c r="T3" s="54"/>
      <c r="U3" s="54"/>
      <c r="V3" s="54"/>
      <c r="W3" s="54"/>
      <c r="X3" s="54"/>
      <c r="Y3" s="54"/>
      <c r="Z3" s="54"/>
      <c r="AA3" s="54"/>
      <c r="AB3" s="54"/>
      <c r="AC3" s="54"/>
    </row>
    <row r="4" spans="1:29" ht="15.75" customHeight="1">
      <c r="A4" s="55" t="s">
        <v>122</v>
      </c>
      <c r="B4" s="56">
        <v>1.87</v>
      </c>
      <c r="C4" s="54"/>
      <c r="D4" s="54"/>
      <c r="E4" s="54"/>
      <c r="F4" s="54"/>
      <c r="G4" s="54"/>
      <c r="J4" s="54"/>
      <c r="K4" s="54"/>
      <c r="L4" s="54"/>
      <c r="M4" s="54"/>
      <c r="N4" s="54"/>
      <c r="O4" s="54"/>
      <c r="P4" s="54"/>
      <c r="Q4" s="54"/>
      <c r="R4" s="54"/>
      <c r="S4" s="54"/>
      <c r="T4" s="54"/>
      <c r="U4" s="54"/>
      <c r="V4" s="54"/>
      <c r="W4" s="54"/>
      <c r="X4" s="54"/>
      <c r="Y4" s="54"/>
      <c r="Z4" s="54"/>
      <c r="AA4" s="54"/>
      <c r="AB4" s="54"/>
      <c r="AC4" s="54"/>
    </row>
    <row r="5" spans="1:29" ht="15.75" customHeight="1">
      <c r="A5" s="55" t="s">
        <v>123</v>
      </c>
      <c r="B5" s="56">
        <v>1.38</v>
      </c>
      <c r="C5" s="54"/>
      <c r="D5" s="54"/>
      <c r="E5" s="54"/>
      <c r="F5" s="54"/>
      <c r="G5" s="54"/>
      <c r="J5" s="54"/>
      <c r="K5" s="54"/>
      <c r="L5" s="54"/>
      <c r="M5" s="54"/>
      <c r="N5" s="54"/>
      <c r="O5" s="54"/>
      <c r="P5" s="54"/>
      <c r="Q5" s="54"/>
      <c r="R5" s="54"/>
      <c r="S5" s="54"/>
      <c r="T5" s="54"/>
      <c r="U5" s="54"/>
      <c r="V5" s="54"/>
      <c r="W5" s="54"/>
      <c r="X5" s="54"/>
      <c r="Y5" s="54"/>
      <c r="Z5" s="54"/>
      <c r="AA5" s="54"/>
      <c r="AB5" s="54"/>
      <c r="AC5" s="54"/>
    </row>
    <row r="6" spans="1:29"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row>
    <row r="7" spans="1:29" ht="15.75" customHeight="1">
      <c r="A7" s="57" t="s">
        <v>124</v>
      </c>
      <c r="B7" s="58"/>
      <c r="C7" s="54"/>
      <c r="D7" s="54"/>
      <c r="E7" s="54"/>
      <c r="F7" s="54"/>
      <c r="G7" s="54"/>
      <c r="H7" s="54"/>
      <c r="I7" s="54"/>
      <c r="J7" s="54"/>
      <c r="K7" s="54"/>
      <c r="L7" s="54"/>
      <c r="M7" s="54"/>
      <c r="N7" s="54"/>
      <c r="O7" s="54"/>
      <c r="P7" s="54"/>
      <c r="Q7" s="54"/>
      <c r="R7" s="54"/>
      <c r="S7" s="54"/>
      <c r="T7" s="54"/>
      <c r="U7" s="54"/>
      <c r="V7" s="54"/>
      <c r="W7" s="54"/>
      <c r="X7" s="54"/>
      <c r="Y7" s="54"/>
      <c r="Z7" s="54"/>
      <c r="AA7" s="54"/>
      <c r="AB7" s="54"/>
      <c r="AC7" s="54"/>
    </row>
    <row r="8" spans="1:29" ht="15.75" customHeight="1">
      <c r="A8" s="59" t="s">
        <v>125</v>
      </c>
      <c r="B8" s="59" t="s">
        <v>1</v>
      </c>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1:29" ht="15.75" customHeight="1">
      <c r="A9" s="60" t="s">
        <v>126</v>
      </c>
      <c r="B9" s="61">
        <v>339</v>
      </c>
      <c r="C9" s="54"/>
      <c r="D9" s="54"/>
      <c r="E9" s="54"/>
      <c r="F9" s="54"/>
      <c r="G9" s="54"/>
      <c r="H9" s="54"/>
      <c r="I9" s="54"/>
      <c r="J9" s="54"/>
      <c r="K9" s="54"/>
      <c r="L9" s="54"/>
      <c r="M9" s="54"/>
      <c r="N9" s="54"/>
      <c r="O9" s="54"/>
      <c r="P9" s="54"/>
      <c r="Q9" s="54"/>
      <c r="R9" s="54"/>
      <c r="S9" s="54"/>
      <c r="T9" s="54"/>
      <c r="U9" s="54"/>
      <c r="V9" s="54"/>
      <c r="W9" s="54"/>
      <c r="X9" s="54"/>
      <c r="Y9" s="54"/>
      <c r="Z9" s="54"/>
      <c r="AA9" s="54"/>
      <c r="AB9" s="54"/>
      <c r="AC9" s="54"/>
    </row>
    <row r="10" spans="1:29" ht="15.75" customHeight="1">
      <c r="A10" s="60" t="s">
        <v>127</v>
      </c>
      <c r="B10" s="61">
        <v>35792</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row>
    <row r="11" spans="1:29" ht="15.75" customHeight="1">
      <c r="A11" s="60" t="s">
        <v>128</v>
      </c>
      <c r="B11" s="62">
        <f>92336+4144</f>
        <v>96480</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row>
    <row r="12" spans="1:29" ht="15.75" customHeight="1">
      <c r="A12" s="53"/>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row>
    <row r="13" spans="1:29" ht="15.75" customHeight="1">
      <c r="A13" s="53" t="s">
        <v>129</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spans="1:29" ht="15.75" customHeight="1">
      <c r="A14" s="63" t="s">
        <v>130</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spans="1:29" ht="15.75" customHeight="1">
      <c r="A15" s="64" t="s">
        <v>131</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row>
    <row r="16" spans="1:29" ht="15.75"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row>
    <row r="17" spans="1:29" ht="15.75" customHeight="1">
      <c r="A17" s="55" t="s">
        <v>132</v>
      </c>
      <c r="B17" s="55" t="s">
        <v>133</v>
      </c>
      <c r="C17" s="65" t="s">
        <v>134</v>
      </c>
      <c r="D17" s="65" t="s">
        <v>135</v>
      </c>
      <c r="E17" s="65" t="s">
        <v>136</v>
      </c>
      <c r="F17" s="65" t="s">
        <v>137</v>
      </c>
      <c r="G17" s="65" t="s">
        <v>138</v>
      </c>
      <c r="H17" s="65" t="s">
        <v>139</v>
      </c>
      <c r="I17" s="65" t="s">
        <v>140</v>
      </c>
      <c r="J17" s="65" t="s">
        <v>141</v>
      </c>
      <c r="K17" s="65" t="s">
        <v>142</v>
      </c>
      <c r="L17" s="65" t="s">
        <v>143</v>
      </c>
      <c r="N17" s="54" t="s">
        <v>144</v>
      </c>
      <c r="O17" s="54"/>
      <c r="P17" s="54"/>
      <c r="Q17" s="54"/>
      <c r="R17" s="54"/>
      <c r="S17" s="54"/>
      <c r="T17" s="54"/>
      <c r="U17" s="54"/>
      <c r="V17" s="54"/>
      <c r="W17" s="54"/>
      <c r="X17" s="54"/>
      <c r="Y17" s="54"/>
      <c r="Z17" s="54"/>
      <c r="AA17" s="54"/>
      <c r="AB17" s="54"/>
      <c r="AC17" s="54"/>
    </row>
    <row r="18" spans="1:29" ht="15.75" customHeight="1">
      <c r="A18" s="66" t="s">
        <v>145</v>
      </c>
      <c r="B18" s="67">
        <v>2435</v>
      </c>
      <c r="C18" s="68">
        <v>4200000</v>
      </c>
      <c r="D18" s="69">
        <v>2000</v>
      </c>
      <c r="E18" s="70" t="s">
        <v>146</v>
      </c>
      <c r="F18" s="71">
        <f t="shared" ref="F18:F23" si="0">D18/B18*$B$9</f>
        <v>278.43942505133469</v>
      </c>
      <c r="G18" s="72"/>
      <c r="H18" s="70" t="s">
        <v>146</v>
      </c>
      <c r="I18" s="71">
        <f t="shared" ref="I18:I23" si="1">D18/B18*$B$10</f>
        <v>29397.946611909651</v>
      </c>
      <c r="J18" s="71">
        <f t="shared" ref="J18:J23" si="2">D18/B18*$B$11</f>
        <v>79244.35318275154</v>
      </c>
      <c r="K18" s="70" t="s">
        <v>146</v>
      </c>
      <c r="L18" s="70" t="s">
        <v>146</v>
      </c>
      <c r="N18" s="73" t="s">
        <v>147</v>
      </c>
      <c r="O18" s="54"/>
      <c r="P18" s="54"/>
      <c r="Q18" s="54"/>
      <c r="R18" s="54"/>
      <c r="S18" s="54"/>
      <c r="T18" s="54"/>
      <c r="U18" s="54"/>
      <c r="V18" s="54"/>
      <c r="W18" s="54"/>
      <c r="X18" s="54"/>
      <c r="Y18" s="54"/>
      <c r="Z18" s="54"/>
      <c r="AA18" s="54"/>
      <c r="AB18" s="54"/>
      <c r="AC18" s="54"/>
    </row>
    <row r="19" spans="1:29" ht="15.75" customHeight="1">
      <c r="A19" s="74" t="s">
        <v>148</v>
      </c>
      <c r="B19" s="67">
        <v>1165</v>
      </c>
      <c r="C19" s="68">
        <v>3000000</v>
      </c>
      <c r="D19" s="69">
        <v>1800</v>
      </c>
      <c r="E19" s="70" t="s">
        <v>146</v>
      </c>
      <c r="F19" s="71">
        <f t="shared" si="0"/>
        <v>523.77682403433471</v>
      </c>
      <c r="G19" s="72"/>
      <c r="H19" s="70" t="s">
        <v>146</v>
      </c>
      <c r="I19" s="71">
        <f t="shared" si="1"/>
        <v>55300.944206008578</v>
      </c>
      <c r="J19" s="71">
        <f t="shared" si="2"/>
        <v>149067.81115879829</v>
      </c>
      <c r="K19" s="70" t="s">
        <v>146</v>
      </c>
      <c r="L19" s="70" t="s">
        <v>146</v>
      </c>
      <c r="N19" s="73" t="s">
        <v>147</v>
      </c>
      <c r="O19" s="54"/>
      <c r="P19" s="54"/>
      <c r="Q19" s="54"/>
      <c r="R19" s="54"/>
      <c r="S19" s="54"/>
      <c r="T19" s="54"/>
      <c r="U19" s="54"/>
      <c r="V19" s="54"/>
      <c r="W19" s="54"/>
      <c r="X19" s="54"/>
      <c r="Y19" s="54"/>
      <c r="Z19" s="54"/>
      <c r="AA19" s="54"/>
      <c r="AB19" s="54"/>
      <c r="AC19" s="54"/>
    </row>
    <row r="20" spans="1:29" ht="15.75" customHeight="1">
      <c r="A20" s="74" t="s">
        <v>149</v>
      </c>
      <c r="B20" s="67">
        <v>1072</v>
      </c>
      <c r="C20" s="68">
        <v>1400000</v>
      </c>
      <c r="D20" s="69">
        <v>770</v>
      </c>
      <c r="E20" s="70" t="s">
        <v>146</v>
      </c>
      <c r="F20" s="71">
        <f t="shared" si="0"/>
        <v>243.49813432835822</v>
      </c>
      <c r="G20" s="72"/>
      <c r="H20" s="70" t="s">
        <v>146</v>
      </c>
      <c r="I20" s="71">
        <f t="shared" si="1"/>
        <v>25708.805970149253</v>
      </c>
      <c r="J20" s="71">
        <f t="shared" si="2"/>
        <v>69300</v>
      </c>
      <c r="K20" s="75">
        <v>11800</v>
      </c>
      <c r="L20" s="76">
        <f t="shared" ref="L20:L22" si="3">K20*$B$4/B18*$B$9</f>
        <v>3072.0221765913757</v>
      </c>
      <c r="N20" s="73" t="s">
        <v>147</v>
      </c>
      <c r="O20" s="54"/>
      <c r="P20" s="54"/>
      <c r="Q20" s="54"/>
      <c r="R20" s="54"/>
      <c r="S20" s="54"/>
      <c r="T20" s="54"/>
      <c r="U20" s="54"/>
      <c r="V20" s="54"/>
      <c r="W20" s="54"/>
      <c r="X20" s="54"/>
      <c r="Y20" s="54"/>
      <c r="Z20" s="54"/>
      <c r="AA20" s="54"/>
      <c r="AB20" s="54"/>
      <c r="AC20" s="54"/>
    </row>
    <row r="21" spans="1:29" ht="15.75" customHeight="1">
      <c r="A21" s="74" t="s">
        <v>150</v>
      </c>
      <c r="B21" s="67">
        <v>1300</v>
      </c>
      <c r="C21" s="68">
        <v>6000000</v>
      </c>
      <c r="D21" s="69">
        <v>1500</v>
      </c>
      <c r="E21" s="77">
        <v>0.55000000000000004</v>
      </c>
      <c r="F21" s="71">
        <f t="shared" si="0"/>
        <v>391.15384615384613</v>
      </c>
      <c r="G21" s="78"/>
      <c r="H21" s="70" t="s">
        <v>146</v>
      </c>
      <c r="I21" s="71">
        <f t="shared" si="1"/>
        <v>41298.461538461532</v>
      </c>
      <c r="J21" s="71">
        <f t="shared" si="2"/>
        <v>111323.07692307691</v>
      </c>
      <c r="K21" s="75">
        <v>7500</v>
      </c>
      <c r="L21" s="76">
        <f t="shared" si="3"/>
        <v>4081.0944206008585</v>
      </c>
      <c r="N21" s="73" t="s">
        <v>147</v>
      </c>
      <c r="O21" s="54"/>
      <c r="P21" s="54"/>
      <c r="Q21" s="54"/>
      <c r="R21" s="54"/>
      <c r="S21" s="54"/>
      <c r="T21" s="54"/>
      <c r="U21" s="54"/>
      <c r="V21" s="54"/>
      <c r="W21" s="54"/>
      <c r="X21" s="54"/>
      <c r="Y21" s="54"/>
      <c r="Z21" s="54"/>
      <c r="AA21" s="54"/>
      <c r="AB21" s="54"/>
      <c r="AC21" s="54"/>
    </row>
    <row r="22" spans="1:29" ht="15.75" customHeight="1">
      <c r="A22" s="74" t="s">
        <v>151</v>
      </c>
      <c r="B22" s="67">
        <v>565</v>
      </c>
      <c r="C22" s="68">
        <f>2000000-13500</f>
        <v>1986500</v>
      </c>
      <c r="D22" s="71">
        <f>C22*$B$2/1000*$B$3/1000</f>
        <v>1072.1557664999998</v>
      </c>
      <c r="E22" s="77">
        <f>C22/2000000</f>
        <v>0.99324999999999997</v>
      </c>
      <c r="F22" s="71">
        <f t="shared" si="0"/>
        <v>643.2934598999999</v>
      </c>
      <c r="G22" s="78"/>
      <c r="H22" s="70" t="s">
        <v>146</v>
      </c>
      <c r="I22" s="71">
        <f t="shared" si="1"/>
        <v>67919.644592155732</v>
      </c>
      <c r="J22" s="71">
        <f t="shared" si="2"/>
        <v>183082.45726003536</v>
      </c>
      <c r="K22" s="75">
        <v>7000</v>
      </c>
      <c r="L22" s="76">
        <f t="shared" si="3"/>
        <v>4139.4682835820895</v>
      </c>
      <c r="N22" s="73" t="s">
        <v>152</v>
      </c>
      <c r="O22" s="54"/>
      <c r="P22" s="54"/>
      <c r="Q22" s="54"/>
      <c r="R22" s="54"/>
      <c r="S22" s="54"/>
      <c r="T22" s="54"/>
      <c r="U22" s="54"/>
      <c r="V22" s="54"/>
      <c r="W22" s="54"/>
      <c r="X22" s="54"/>
      <c r="Y22" s="54"/>
      <c r="Z22" s="54"/>
      <c r="AA22" s="54"/>
      <c r="AB22" s="54"/>
      <c r="AC22" s="54"/>
    </row>
    <row r="23" spans="1:29" ht="15.75" customHeight="1">
      <c r="A23" s="66" t="s">
        <v>153</v>
      </c>
      <c r="B23" s="67">
        <v>523</v>
      </c>
      <c r="C23" s="79" t="s">
        <v>146</v>
      </c>
      <c r="D23" s="80">
        <f>234.3-5.6</f>
        <v>228.70000000000002</v>
      </c>
      <c r="E23" s="81">
        <v>0.97599999999999998</v>
      </c>
      <c r="F23" s="82">
        <f t="shared" si="0"/>
        <v>148.2395793499044</v>
      </c>
      <c r="G23" s="83" t="s">
        <v>154</v>
      </c>
      <c r="H23" s="84" t="s">
        <v>155</v>
      </c>
      <c r="I23" s="82">
        <f t="shared" si="1"/>
        <v>15651.300956022946</v>
      </c>
      <c r="J23" s="82">
        <f t="shared" si="2"/>
        <v>42189.246653919698</v>
      </c>
      <c r="K23" s="85" t="s">
        <v>156</v>
      </c>
      <c r="L23" s="86" t="s">
        <v>146</v>
      </c>
      <c r="N23" s="73" t="s">
        <v>157</v>
      </c>
      <c r="O23" s="54"/>
      <c r="P23" s="54"/>
      <c r="Q23" s="54"/>
      <c r="R23" s="54"/>
      <c r="S23" s="54"/>
      <c r="T23" s="54"/>
      <c r="U23" s="54"/>
      <c r="V23" s="54"/>
      <c r="W23" s="54"/>
      <c r="X23" s="54"/>
      <c r="Y23" s="54"/>
      <c r="Z23" s="54"/>
      <c r="AA23" s="54"/>
      <c r="AB23" s="54"/>
      <c r="AC23" s="54"/>
    </row>
    <row r="24" spans="1:29" ht="15.75" customHeight="1">
      <c r="A24" s="55" t="s">
        <v>158</v>
      </c>
      <c r="B24" s="74"/>
      <c r="C24" s="74"/>
      <c r="D24" s="87">
        <f>AVERAGE(D18:D23)</f>
        <v>1228.4759610833332</v>
      </c>
      <c r="E24" s="74"/>
      <c r="F24" s="87">
        <f>AVERAGE(F18:F23)</f>
        <v>371.40021146962971</v>
      </c>
      <c r="G24" s="74"/>
      <c r="H24" s="7"/>
      <c r="I24" s="87">
        <f t="shared" ref="I24:J24" si="4">AVERAGE(I18:I23)</f>
        <v>39212.850645784616</v>
      </c>
      <c r="J24" s="87">
        <f t="shared" si="4"/>
        <v>105701.15752976363</v>
      </c>
      <c r="K24" s="74"/>
      <c r="L24" s="87">
        <f>AVERAGE(L18:L23)</f>
        <v>3764.194960258108</v>
      </c>
      <c r="N24" s="54"/>
      <c r="O24" s="54"/>
      <c r="P24" s="54"/>
      <c r="Q24" s="54"/>
      <c r="R24" s="54"/>
      <c r="S24" s="54"/>
      <c r="T24" s="54"/>
      <c r="U24" s="54"/>
      <c r="V24" s="54"/>
      <c r="W24" s="54"/>
      <c r="X24" s="54"/>
      <c r="Y24" s="54"/>
      <c r="Z24" s="54"/>
      <c r="AA24" s="54"/>
      <c r="AB24" s="54"/>
      <c r="AC24" s="54"/>
    </row>
    <row r="25" spans="1:29"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ht="15.75" customHeight="1">
      <c r="A26" s="88" t="s">
        <v>159</v>
      </c>
      <c r="B26" s="88" t="s">
        <v>160</v>
      </c>
      <c r="C26" s="89" t="s">
        <v>161</v>
      </c>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ht="15.75" customHeight="1">
      <c r="A27" s="74" t="s">
        <v>145</v>
      </c>
      <c r="B27" s="90" t="s">
        <v>162</v>
      </c>
      <c r="C27" s="91" t="s">
        <v>163</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ht="15.75" customHeight="1">
      <c r="A28" s="74" t="s">
        <v>148</v>
      </c>
      <c r="B28" s="90" t="s">
        <v>164</v>
      </c>
      <c r="C28" s="91" t="s">
        <v>165</v>
      </c>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1:29" ht="15.75" customHeight="1">
      <c r="A29" s="74" t="s">
        <v>149</v>
      </c>
      <c r="B29" s="90" t="s">
        <v>166</v>
      </c>
      <c r="C29" s="91" t="s">
        <v>167</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spans="1:29" ht="15.75" customHeight="1">
      <c r="A30" s="74" t="s">
        <v>168</v>
      </c>
      <c r="B30" s="90" t="s">
        <v>169</v>
      </c>
      <c r="C30" s="91" t="s">
        <v>170</v>
      </c>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ht="15.75" customHeight="1">
      <c r="A31" s="74" t="s">
        <v>171</v>
      </c>
      <c r="B31" s="90" t="s">
        <v>172</v>
      </c>
      <c r="C31" s="7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ht="15.75" customHeight="1">
      <c r="A32" s="74" t="s">
        <v>173</v>
      </c>
      <c r="B32" s="90" t="s">
        <v>174</v>
      </c>
      <c r="C32" s="7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1:29"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1:29"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1:29"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ht="15.75" customHeight="1">
      <c r="A36" s="53" t="s">
        <v>175</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1:29" ht="15.75" customHeight="1">
      <c r="A37" s="54" t="s">
        <v>176</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29" ht="15.75" customHeight="1">
      <c r="A38" s="54" t="s">
        <v>177</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29" ht="15.75" customHeight="1">
      <c r="A39" s="54" t="s">
        <v>178</v>
      </c>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1:29"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1:29"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1:29"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1:29"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1:29"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1:29"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1:2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1:29"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1:29"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spans="1:29"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spans="1:29"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spans="1:29"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spans="1:29"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spans="1:29"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spans="1:29"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spans="1:29"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spans="1:29"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spans="1:29"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spans="1:2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spans="1:29"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spans="1:29"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spans="1:29"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spans="1:29"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spans="1:29"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spans="1:29"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spans="1:29"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spans="1:29"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spans="1:29"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spans="1:2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spans="1:29"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spans="1:29"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spans="1:29"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spans="1:29"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spans="1:29"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spans="1:29"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spans="1:29"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spans="1:29"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spans="1:29"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spans="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spans="1:29"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spans="1:29"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spans="1:29"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spans="1:29"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spans="1:29"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spans="1:29"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spans="1:29"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spans="1:29"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spans="1:29"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spans="1:2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spans="1:29"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spans="1:29"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spans="1:29"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spans="1:29"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spans="1:29"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spans="1:29"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spans="1:29"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spans="1:29"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spans="1:29"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spans="1:2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spans="1:29"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spans="1:29"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spans="1:29"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spans="1:29"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spans="1:29"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spans="1:29"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spans="1:29"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spans="1:29"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spans="1:29"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spans="1:2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spans="1:29"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spans="1:29"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spans="1:29"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spans="1:29"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spans="1:29"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spans="1:29"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spans="1:29"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spans="1:29"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spans="1:29"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spans="1:2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spans="1:29"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spans="1:29"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spans="1:29"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spans="1:29"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spans="1:29"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spans="1:29"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spans="1:29"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spans="1:29"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spans="1:29"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spans="1:2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spans="1:29"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spans="1:29"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spans="1:29"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spans="1:29"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spans="1:29"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spans="1:29"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spans="1:29"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spans="1:29"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spans="1:29"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spans="1:2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spans="1:29"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spans="1:29"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spans="1:29"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spans="1:29"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spans="1:29"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spans="1:29"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spans="1:29"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spans="1:29"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spans="1:29"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spans="1:2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spans="1:29"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spans="1:29"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spans="1:29"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spans="1:29"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spans="1:29"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spans="1:29"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spans="1:29"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spans="1:29"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spans="1:29"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spans="1:2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spans="1:29"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spans="1:29"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spans="1:29"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spans="1:29"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spans="1:29"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spans="1:29"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spans="1:29"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spans="1:29"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spans="1:29"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spans="1:2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spans="1:29"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spans="1:29" ht="15.75" customHeight="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spans="1:29" ht="15.75"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spans="1:29" ht="15.75" customHeight="1">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spans="1:29" ht="15.75"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spans="1:29" ht="15.7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spans="1:29" ht="15.7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spans="1:29" ht="15.7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spans="1:29" ht="15.7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spans="1:29" ht="15.7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spans="1:29" ht="15.7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spans="1:29" ht="15.7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spans="1:29" ht="15.75"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spans="1:29" ht="15.75"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spans="1:29" ht="15.7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spans="1:29" ht="15.7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spans="1:29" ht="15.7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spans="1:29" ht="15.7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spans="1:29" ht="15.7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spans="1:29" ht="15.7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N18" r:id="rId1" xr:uid="{00000000-0004-0000-0200-000000000000}"/>
    <hyperlink ref="N22" r:id="rId2" xr:uid="{00000000-0004-0000-0200-000001000000}"/>
    <hyperlink ref="N23" r:id="rId3" xr:uid="{00000000-0004-0000-0200-000002000000}"/>
    <hyperlink ref="B27" r:id="rId4" xr:uid="{00000000-0004-0000-0200-000003000000}"/>
    <hyperlink ref="C27" r:id="rId5" xr:uid="{00000000-0004-0000-0200-000004000000}"/>
    <hyperlink ref="B28" r:id="rId6" xr:uid="{00000000-0004-0000-0200-000005000000}"/>
    <hyperlink ref="C28" r:id="rId7" xr:uid="{00000000-0004-0000-0200-000006000000}"/>
    <hyperlink ref="B29" r:id="rId8" xr:uid="{00000000-0004-0000-0200-000007000000}"/>
    <hyperlink ref="C29" r:id="rId9" xr:uid="{00000000-0004-0000-0200-000008000000}"/>
    <hyperlink ref="B30" r:id="rId10" xr:uid="{00000000-0004-0000-0200-000009000000}"/>
    <hyperlink ref="C30" r:id="rId11" xr:uid="{00000000-0004-0000-0200-00000A000000}"/>
    <hyperlink ref="B31" r:id="rId12" xr:uid="{00000000-0004-0000-0200-00000B000000}"/>
    <hyperlink ref="B32" r:id="rId13" xr:uid="{00000000-0004-0000-0200-00000C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2.5703125" defaultRowHeight="15" customHeight="1"/>
  <cols>
    <col min="1" max="1" width="24.5703125" customWidth="1"/>
    <col min="2" max="2" width="48.42578125" customWidth="1"/>
    <col min="3" max="3" width="16" customWidth="1"/>
    <col min="4" max="6" width="12.5703125" customWidth="1"/>
  </cols>
  <sheetData>
    <row r="1" spans="1:26" ht="15.75" customHeight="1">
      <c r="A1" s="53" t="s">
        <v>179</v>
      </c>
      <c r="B1" s="54"/>
      <c r="C1" s="54"/>
      <c r="D1" s="54"/>
      <c r="E1" s="54"/>
      <c r="F1" s="54"/>
      <c r="G1" s="54"/>
      <c r="H1" s="54"/>
      <c r="I1" s="54"/>
      <c r="J1" s="54"/>
      <c r="K1" s="54"/>
      <c r="L1" s="54"/>
      <c r="M1" s="54"/>
      <c r="N1" s="54"/>
      <c r="O1" s="54"/>
      <c r="P1" s="54"/>
      <c r="Q1" s="54"/>
      <c r="R1" s="54"/>
      <c r="S1" s="54"/>
      <c r="T1" s="54"/>
      <c r="U1" s="54"/>
      <c r="V1" s="54"/>
      <c r="W1" s="54"/>
      <c r="X1" s="54"/>
      <c r="Y1" s="54"/>
      <c r="Z1" s="54"/>
    </row>
    <row r="2" spans="1:26" ht="15.75" customHeight="1">
      <c r="A2" s="73" t="s">
        <v>27</v>
      </c>
      <c r="B2" s="7"/>
      <c r="C2" s="74" t="s">
        <v>180</v>
      </c>
      <c r="D2" s="74" t="s">
        <v>181</v>
      </c>
      <c r="E2" s="74" t="s">
        <v>182</v>
      </c>
      <c r="F2" s="54"/>
      <c r="G2" s="54"/>
      <c r="H2" s="54"/>
      <c r="I2" s="54"/>
      <c r="J2" s="54"/>
      <c r="K2" s="54"/>
      <c r="L2" s="54"/>
      <c r="M2" s="54"/>
      <c r="N2" s="54"/>
      <c r="O2" s="54"/>
      <c r="P2" s="54"/>
      <c r="Q2" s="54"/>
      <c r="R2" s="54"/>
      <c r="S2" s="54"/>
      <c r="T2" s="54"/>
      <c r="U2" s="54"/>
      <c r="V2" s="54"/>
      <c r="W2" s="54"/>
      <c r="X2" s="54"/>
      <c r="Y2" s="54"/>
      <c r="Z2" s="54"/>
    </row>
    <row r="3" spans="1:26" ht="15.75" customHeight="1">
      <c r="B3" s="74" t="s">
        <v>183</v>
      </c>
      <c r="C3" s="92">
        <v>45500000</v>
      </c>
      <c r="D3" s="92">
        <v>6000000</v>
      </c>
      <c r="E3" s="93">
        <v>688302</v>
      </c>
      <c r="F3" s="54"/>
      <c r="G3" s="54"/>
      <c r="H3" s="54"/>
      <c r="I3" s="54"/>
      <c r="J3" s="54"/>
      <c r="K3" s="54"/>
      <c r="L3" s="54"/>
      <c r="M3" s="54"/>
      <c r="N3" s="54"/>
      <c r="O3" s="54"/>
      <c r="P3" s="54"/>
      <c r="Q3" s="54"/>
      <c r="R3" s="54"/>
      <c r="S3" s="54"/>
      <c r="T3" s="54"/>
      <c r="U3" s="54"/>
      <c r="V3" s="54"/>
      <c r="W3" s="54"/>
      <c r="X3" s="54"/>
      <c r="Y3" s="54"/>
      <c r="Z3" s="54"/>
    </row>
    <row r="4" spans="1:26" ht="15.75" customHeight="1">
      <c r="B4" s="74" t="s">
        <v>184</v>
      </c>
      <c r="C4" s="94"/>
      <c r="D4" s="92">
        <v>2700000</v>
      </c>
      <c r="E4" s="93">
        <v>583702</v>
      </c>
      <c r="F4" s="54"/>
      <c r="G4" s="54"/>
      <c r="H4" s="54"/>
      <c r="I4" s="54"/>
      <c r="J4" s="54"/>
      <c r="K4" s="54"/>
      <c r="L4" s="54"/>
      <c r="M4" s="54"/>
      <c r="N4" s="54"/>
      <c r="O4" s="54"/>
      <c r="P4" s="54"/>
      <c r="Q4" s="54"/>
      <c r="R4" s="54"/>
      <c r="S4" s="54"/>
      <c r="T4" s="54"/>
      <c r="U4" s="54"/>
      <c r="V4" s="54"/>
      <c r="W4" s="54"/>
      <c r="X4" s="54"/>
      <c r="Y4" s="54"/>
      <c r="Z4" s="54"/>
    </row>
    <row r="5" spans="1:26" ht="15.75" customHeight="1">
      <c r="B5" s="74" t="s">
        <v>185</v>
      </c>
      <c r="C5" s="95">
        <v>0.36499999999999999</v>
      </c>
      <c r="D5" s="95">
        <v>0.85</v>
      </c>
      <c r="E5" s="95">
        <v>0.66</v>
      </c>
      <c r="F5" s="54"/>
      <c r="G5" s="54"/>
      <c r="H5" s="54"/>
      <c r="I5" s="54"/>
      <c r="J5" s="54"/>
      <c r="K5" s="54"/>
      <c r="L5" s="54"/>
      <c r="M5" s="54"/>
      <c r="N5" s="54"/>
      <c r="O5" s="54"/>
      <c r="P5" s="54"/>
      <c r="Q5" s="54"/>
      <c r="R5" s="54"/>
      <c r="S5" s="54"/>
      <c r="T5" s="54"/>
      <c r="U5" s="54"/>
      <c r="V5" s="54"/>
      <c r="W5" s="54"/>
      <c r="X5" s="54"/>
      <c r="Y5" s="54"/>
      <c r="Z5" s="54"/>
    </row>
    <row r="6" spans="1:26" ht="15.75" customHeight="1">
      <c r="B6" s="74" t="s">
        <v>186</v>
      </c>
      <c r="C6" s="95">
        <v>0.67</v>
      </c>
      <c r="D6" s="95">
        <v>0.8</v>
      </c>
      <c r="E6" s="95">
        <v>0.7</v>
      </c>
      <c r="F6" s="54"/>
      <c r="G6" s="54"/>
      <c r="H6" s="54"/>
      <c r="I6" s="54"/>
      <c r="J6" s="54"/>
      <c r="K6" s="54"/>
      <c r="L6" s="54"/>
      <c r="M6" s="54"/>
      <c r="N6" s="54"/>
      <c r="O6" s="54"/>
      <c r="P6" s="54"/>
      <c r="Q6" s="54"/>
      <c r="R6" s="54"/>
      <c r="S6" s="54"/>
      <c r="T6" s="54"/>
      <c r="U6" s="54"/>
      <c r="V6" s="54"/>
      <c r="W6" s="54"/>
      <c r="X6" s="54"/>
      <c r="Y6" s="54"/>
      <c r="Z6" s="54"/>
    </row>
    <row r="7" spans="1:26" ht="15.75" customHeight="1">
      <c r="B7" s="74" t="s">
        <v>187</v>
      </c>
      <c r="C7" s="96">
        <v>16600000</v>
      </c>
      <c r="D7" s="94"/>
      <c r="E7" s="97"/>
      <c r="F7" s="54"/>
      <c r="G7" s="54"/>
      <c r="H7" s="54"/>
      <c r="I7" s="54"/>
      <c r="J7" s="54"/>
      <c r="K7" s="54"/>
      <c r="L7" s="54"/>
      <c r="M7" s="54"/>
      <c r="N7" s="54"/>
      <c r="O7" s="54"/>
      <c r="P7" s="54"/>
      <c r="Q7" s="54"/>
      <c r="R7" s="54"/>
      <c r="S7" s="54"/>
      <c r="T7" s="54"/>
      <c r="U7" s="54"/>
      <c r="V7" s="54"/>
      <c r="W7" s="54"/>
      <c r="X7" s="54"/>
      <c r="Y7" s="54"/>
      <c r="Z7" s="54"/>
    </row>
    <row r="8" spans="1:26" ht="15.75" customHeight="1">
      <c r="B8" s="74" t="s">
        <v>188</v>
      </c>
      <c r="C8" s="96">
        <f>C7*C6</f>
        <v>11122000</v>
      </c>
      <c r="D8" s="97"/>
      <c r="E8" s="97"/>
      <c r="F8" s="54"/>
      <c r="G8" s="54"/>
      <c r="H8" s="54"/>
      <c r="I8" s="54"/>
      <c r="J8" s="54"/>
      <c r="K8" s="54"/>
      <c r="L8" s="54"/>
      <c r="M8" s="54"/>
      <c r="N8" s="54"/>
      <c r="O8" s="54"/>
      <c r="P8" s="54"/>
      <c r="Q8" s="54"/>
      <c r="R8" s="54"/>
      <c r="S8" s="54"/>
      <c r="T8" s="54"/>
      <c r="U8" s="54"/>
      <c r="V8" s="54"/>
      <c r="W8" s="54"/>
      <c r="X8" s="54"/>
      <c r="Y8" s="54"/>
      <c r="Z8" s="54"/>
    </row>
    <row r="9" spans="1:26" ht="15.75" customHeight="1">
      <c r="B9" s="74" t="s">
        <v>189</v>
      </c>
      <c r="C9" s="96">
        <f>C8*(B13-C13)*1000</f>
        <v>4793582000000</v>
      </c>
      <c r="D9" s="98">
        <f>1000-932.3</f>
        <v>67.700000000000045</v>
      </c>
      <c r="E9" s="98">
        <f>76.3-70.4</f>
        <v>5.8999999999999915</v>
      </c>
      <c r="F9" s="54"/>
      <c r="G9" s="54"/>
      <c r="H9" s="54"/>
      <c r="I9" s="54"/>
      <c r="J9" s="54"/>
      <c r="K9" s="54"/>
      <c r="L9" s="54"/>
      <c r="M9" s="54"/>
      <c r="N9" s="54"/>
      <c r="O9" s="54"/>
      <c r="P9" s="54"/>
      <c r="Q9" s="54"/>
      <c r="R9" s="54"/>
      <c r="S9" s="54"/>
      <c r="T9" s="54"/>
      <c r="U9" s="54"/>
      <c r="V9" s="54"/>
      <c r="W9" s="54"/>
      <c r="X9" s="54"/>
      <c r="Y9" s="54"/>
      <c r="Z9" s="54"/>
    </row>
    <row r="10" spans="1:26" ht="15.75" customHeight="1">
      <c r="A10" s="54"/>
      <c r="B10" s="99"/>
      <c r="C10" s="99"/>
      <c r="D10" s="99"/>
      <c r="E10" s="54"/>
      <c r="F10" s="54"/>
      <c r="G10" s="54"/>
      <c r="H10" s="54"/>
      <c r="I10" s="54"/>
      <c r="J10" s="54"/>
      <c r="K10" s="54"/>
      <c r="L10" s="54"/>
      <c r="M10" s="54"/>
      <c r="N10" s="54"/>
      <c r="O10" s="54"/>
      <c r="P10" s="54"/>
      <c r="Q10" s="54"/>
      <c r="R10" s="54"/>
      <c r="S10" s="54"/>
      <c r="T10" s="54"/>
      <c r="U10" s="54"/>
      <c r="V10" s="54"/>
      <c r="W10" s="54"/>
      <c r="X10" s="54"/>
      <c r="Y10" s="54"/>
      <c r="Z10" s="54"/>
    </row>
    <row r="11" spans="1:26" ht="15.75" customHeight="1">
      <c r="A11" s="54"/>
      <c r="B11" s="99"/>
      <c r="C11" s="99"/>
      <c r="D11" s="99"/>
      <c r="E11" s="54"/>
      <c r="F11" s="54"/>
      <c r="G11" s="54"/>
      <c r="H11" s="54"/>
      <c r="I11" s="54"/>
      <c r="J11" s="54"/>
      <c r="K11" s="54"/>
      <c r="L11" s="54"/>
      <c r="M11" s="54"/>
      <c r="N11" s="54"/>
      <c r="O11" s="54"/>
      <c r="P11" s="54"/>
      <c r="Q11" s="54"/>
      <c r="R11" s="54"/>
      <c r="S11" s="54"/>
      <c r="T11" s="54"/>
      <c r="U11" s="54"/>
      <c r="V11" s="54"/>
      <c r="W11" s="54"/>
      <c r="X11" s="54"/>
      <c r="Y11" s="54"/>
      <c r="Z11" s="54"/>
    </row>
    <row r="12" spans="1:26" ht="15.75" customHeight="1">
      <c r="A12" s="54"/>
      <c r="B12" s="54" t="s">
        <v>190</v>
      </c>
      <c r="C12" s="54" t="s">
        <v>191</v>
      </c>
      <c r="D12" s="54" t="s">
        <v>192</v>
      </c>
      <c r="E12" s="54"/>
      <c r="F12" s="54"/>
      <c r="G12" s="54"/>
      <c r="H12" s="54"/>
      <c r="I12" s="54"/>
      <c r="J12" s="54"/>
      <c r="K12" s="54"/>
      <c r="L12" s="54"/>
      <c r="M12" s="54"/>
      <c r="N12" s="54"/>
      <c r="O12" s="54"/>
      <c r="P12" s="54"/>
      <c r="Q12" s="54"/>
      <c r="R12" s="54"/>
      <c r="S12" s="54"/>
      <c r="T12" s="54"/>
      <c r="U12" s="54"/>
      <c r="V12" s="54"/>
      <c r="W12" s="54"/>
      <c r="X12" s="54"/>
      <c r="Y12" s="54"/>
      <c r="Z12" s="54"/>
    </row>
    <row r="13" spans="1:26" ht="15.75" customHeight="1">
      <c r="A13" s="54" t="s">
        <v>193</v>
      </c>
      <c r="B13" s="100">
        <f>AVERAGE(310,628)</f>
        <v>469</v>
      </c>
      <c r="C13" s="100">
        <v>38</v>
      </c>
      <c r="D13" s="100">
        <v>151</v>
      </c>
      <c r="E13" s="54"/>
      <c r="F13" s="54"/>
      <c r="G13" s="54"/>
      <c r="H13" s="54"/>
      <c r="I13" s="54"/>
      <c r="J13" s="54"/>
      <c r="K13" s="54"/>
      <c r="L13" s="54"/>
      <c r="M13" s="54"/>
      <c r="N13" s="54"/>
      <c r="O13" s="54"/>
      <c r="P13" s="54"/>
      <c r="Q13" s="54"/>
      <c r="R13" s="54"/>
      <c r="S13" s="54"/>
      <c r="T13" s="54"/>
      <c r="U13" s="54"/>
      <c r="V13" s="54"/>
      <c r="W13" s="54"/>
      <c r="X13" s="54"/>
      <c r="Y13" s="54"/>
      <c r="Z13" s="54"/>
    </row>
    <row r="14" spans="1:26" ht="15.7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26" ht="15.75" customHeight="1">
      <c r="A15" s="54" t="s">
        <v>194</v>
      </c>
      <c r="B15" s="54"/>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26" ht="15.75" customHeight="1">
      <c r="A16" s="54" t="s">
        <v>195</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ht="15.75" customHeight="1">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row>
    <row r="18" spans="1:26" ht="15.75"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row>
    <row r="19" spans="1:26" ht="15.75" customHeight="1">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26" ht="15.75"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row>
    <row r="21" spans="1:26"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row>
    <row r="22" spans="1:26"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row>
    <row r="23" spans="1:26"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spans="1:26"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spans="1:26"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spans="1: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6"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6"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1:26"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1:26"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1:26"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spans="1:26"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spans="1:26"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1:26"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6"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2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26"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26"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1:26"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6"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6"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1:26"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1:2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1:26"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1:26"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1:26"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 r:id="rId1" xr:uid="{00000000-0004-0000-03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1000"/>
  <sheetViews>
    <sheetView workbookViewId="0"/>
  </sheetViews>
  <sheetFormatPr defaultColWidth="12.5703125" defaultRowHeight="15" customHeight="1"/>
  <cols>
    <col min="1" max="1" width="12.5703125" customWidth="1"/>
    <col min="2" max="2" width="39" customWidth="1"/>
    <col min="3" max="4" width="12.5703125" customWidth="1"/>
    <col min="5" max="5" width="50.85546875" customWidth="1"/>
    <col min="6" max="6" width="12.5703125" customWidth="1"/>
  </cols>
  <sheetData>
    <row r="1" spans="1:5" ht="15.75" customHeight="1">
      <c r="A1" s="53" t="s">
        <v>27</v>
      </c>
      <c r="B1" s="73" t="s">
        <v>196</v>
      </c>
      <c r="C1" s="54"/>
      <c r="D1" s="54"/>
      <c r="E1" s="54"/>
    </row>
    <row r="2" spans="1:5" ht="34.5" customHeight="1">
      <c r="A2" s="54"/>
      <c r="B2" s="218" t="s">
        <v>197</v>
      </c>
      <c r="C2" s="66" t="s">
        <v>198</v>
      </c>
      <c r="D2" s="218" t="s">
        <v>199</v>
      </c>
      <c r="E2" s="218" t="s">
        <v>200</v>
      </c>
    </row>
    <row r="3" spans="1:5" ht="15.75" customHeight="1">
      <c r="A3" s="54"/>
      <c r="B3" s="219"/>
      <c r="C3" s="66" t="s">
        <v>201</v>
      </c>
      <c r="D3" s="219"/>
      <c r="E3" s="219"/>
    </row>
    <row r="4" spans="1:5" ht="15.75" customHeight="1">
      <c r="A4" s="54"/>
      <c r="B4" s="66" t="s">
        <v>40</v>
      </c>
      <c r="C4" s="101">
        <v>15247</v>
      </c>
      <c r="D4" s="102">
        <v>197</v>
      </c>
      <c r="E4" s="66" t="s">
        <v>202</v>
      </c>
    </row>
    <row r="5" spans="1:5" ht="15.75" customHeight="1">
      <c r="A5" s="54"/>
      <c r="B5" s="66" t="s">
        <v>203</v>
      </c>
      <c r="C5" s="101">
        <v>23035</v>
      </c>
      <c r="D5" s="102">
        <v>298</v>
      </c>
      <c r="E5" s="66" t="s">
        <v>204</v>
      </c>
    </row>
    <row r="6" spans="1:5" ht="15.75" customHeight="1">
      <c r="A6" s="54"/>
      <c r="B6" s="66" t="s">
        <v>38</v>
      </c>
      <c r="C6" s="101">
        <v>31330</v>
      </c>
      <c r="D6" s="102">
        <v>405</v>
      </c>
      <c r="E6" s="66" t="s">
        <v>205</v>
      </c>
    </row>
    <row r="7" spans="1:5" ht="15.75" customHeight="1">
      <c r="A7" s="54"/>
      <c r="B7" s="54"/>
      <c r="C7" s="103"/>
      <c r="D7" s="54"/>
      <c r="E7" s="54"/>
    </row>
    <row r="8" spans="1:5" ht="15.75" customHeight="1">
      <c r="A8" s="53" t="s">
        <v>29</v>
      </c>
      <c r="B8" s="73" t="s">
        <v>206</v>
      </c>
      <c r="C8" s="54"/>
      <c r="D8" s="54"/>
      <c r="E8" s="54"/>
    </row>
    <row r="9" spans="1:5" ht="15.75" customHeight="1">
      <c r="A9" s="54"/>
      <c r="B9" s="54" t="s">
        <v>207</v>
      </c>
      <c r="C9" s="54"/>
      <c r="D9" s="54"/>
      <c r="E9" s="54"/>
    </row>
    <row r="10" spans="1:5" ht="15.75" customHeight="1"/>
    <row r="11" spans="1:5" ht="15.75" customHeight="1">
      <c r="A11" s="14" t="s">
        <v>31</v>
      </c>
      <c r="B11" s="28" t="s">
        <v>208</v>
      </c>
    </row>
    <row r="12" spans="1:5" ht="15.75" customHeight="1">
      <c r="B12" s="4" t="s">
        <v>209</v>
      </c>
      <c r="C12" s="4">
        <v>144</v>
      </c>
      <c r="D12" s="4" t="s">
        <v>210</v>
      </c>
    </row>
    <row r="13" spans="1:5" ht="15.75" customHeight="1">
      <c r="B13" s="4" t="s">
        <v>211</v>
      </c>
      <c r="C13" s="4">
        <v>922</v>
      </c>
      <c r="D13" s="4" t="s">
        <v>210</v>
      </c>
    </row>
    <row r="14" spans="1:5" ht="15.75" customHeight="1">
      <c r="B14" s="4" t="s">
        <v>212</v>
      </c>
      <c r="C14" s="4">
        <v>905</v>
      </c>
      <c r="D14" s="4" t="s">
        <v>210</v>
      </c>
    </row>
    <row r="15" spans="1:5" ht="15.75" customHeight="1">
      <c r="B15" s="3"/>
    </row>
    <row r="16" spans="1:5" ht="15.75" customHeight="1">
      <c r="B16" s="4" t="s">
        <v>213</v>
      </c>
      <c r="C16" s="4">
        <f>AVERAGE(C13,C14)*12</f>
        <v>10962</v>
      </c>
    </row>
    <row r="17" spans="2:3" ht="15.75" customHeight="1">
      <c r="B17" s="4" t="s">
        <v>214</v>
      </c>
      <c r="C17" s="31">
        <f>575*C12*12/1000/C16*10000</f>
        <v>906.40394088669962</v>
      </c>
    </row>
    <row r="18" spans="2:3" ht="15.75" customHeight="1"/>
    <row r="19" spans="2:3" ht="15.75" customHeight="1"/>
    <row r="20" spans="2:3" ht="15.75" customHeight="1"/>
    <row r="21" spans="2:3" ht="15.75" customHeight="1"/>
    <row r="22" spans="2:3" ht="15.75" customHeight="1"/>
    <row r="23" spans="2:3" ht="15.75" customHeight="1"/>
    <row r="24" spans="2:3" ht="15.75" customHeight="1"/>
    <row r="25" spans="2:3" ht="15.75" customHeight="1"/>
    <row r="26" spans="2:3" ht="15.75" customHeight="1"/>
    <row r="27" spans="2:3" ht="15.75" customHeight="1"/>
    <row r="28" spans="2:3" ht="15.75" customHeight="1"/>
    <row r="29" spans="2:3" ht="15.75" customHeight="1"/>
    <row r="30" spans="2:3" ht="15.75" customHeight="1"/>
    <row r="31" spans="2:3" ht="15.75" customHeight="1"/>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B3"/>
    <mergeCell ref="D2:D3"/>
    <mergeCell ref="E2:E3"/>
  </mergeCells>
  <hyperlinks>
    <hyperlink ref="B1" r:id="rId1" xr:uid="{00000000-0004-0000-0400-000000000000}"/>
    <hyperlink ref="B8" r:id="rId2" xr:uid="{00000000-0004-0000-0400-000001000000}"/>
    <hyperlink ref="B11" r:id="rId3" xr:uid="{00000000-0004-0000-0400-000002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pane xSplit="2" topLeftCell="C1" activePane="topRight" state="frozen"/>
      <selection pane="topRight" activeCell="D2" sqref="D2"/>
    </sheetView>
  </sheetViews>
  <sheetFormatPr defaultColWidth="12.5703125" defaultRowHeight="15" customHeight="1"/>
  <cols>
    <col min="1" max="1" width="30.140625" customWidth="1"/>
    <col min="2" max="2" width="28.5703125" customWidth="1"/>
    <col min="3" max="3" width="31.42578125" customWidth="1"/>
    <col min="4" max="4" width="18.42578125" customWidth="1"/>
    <col min="5" max="5" width="19.7109375" customWidth="1"/>
    <col min="6" max="6" width="23.85546875" customWidth="1"/>
    <col min="7" max="7" width="24.5703125" customWidth="1"/>
    <col min="8" max="8" width="35.42578125" customWidth="1"/>
    <col min="9" max="9" width="24.85546875" customWidth="1"/>
    <col min="10" max="10" width="24.42578125" customWidth="1"/>
    <col min="12" max="12" width="18.85546875" customWidth="1"/>
    <col min="13" max="13" width="19.7109375" customWidth="1"/>
  </cols>
  <sheetData>
    <row r="1" spans="1:28" ht="15.75" customHeight="1">
      <c r="A1" s="104" t="s">
        <v>215</v>
      </c>
      <c r="B1" s="105"/>
      <c r="C1" s="106"/>
      <c r="D1" s="105"/>
      <c r="E1" s="106"/>
      <c r="F1" s="106"/>
      <c r="G1" s="25"/>
      <c r="H1" s="106"/>
      <c r="I1" s="107"/>
      <c r="J1" s="25"/>
      <c r="K1" s="25"/>
      <c r="L1" s="25"/>
      <c r="M1" s="25"/>
      <c r="N1" s="25"/>
      <c r="O1" s="25"/>
      <c r="P1" s="25"/>
      <c r="Q1" s="25"/>
      <c r="R1" s="25"/>
      <c r="S1" s="25"/>
      <c r="T1" s="25"/>
      <c r="U1" s="25"/>
      <c r="V1" s="25"/>
      <c r="W1" s="25"/>
      <c r="X1" s="25"/>
      <c r="Y1" s="25"/>
      <c r="Z1" s="25"/>
      <c r="AA1" s="25"/>
      <c r="AB1" s="25"/>
    </row>
    <row r="2" spans="1:28" ht="15.75" customHeight="1">
      <c r="A2" s="108" t="s">
        <v>216</v>
      </c>
      <c r="B2" s="109" t="s">
        <v>217</v>
      </c>
      <c r="C2" s="108" t="s">
        <v>218</v>
      </c>
      <c r="D2" s="110">
        <v>200</v>
      </c>
      <c r="E2" s="106"/>
      <c r="F2" s="106"/>
      <c r="G2" s="25"/>
      <c r="H2" s="106"/>
      <c r="I2" s="107"/>
      <c r="J2" s="25"/>
      <c r="K2" s="25"/>
      <c r="L2" s="25"/>
      <c r="M2" s="25"/>
      <c r="N2" s="25"/>
      <c r="O2" s="25"/>
      <c r="P2" s="25"/>
      <c r="Q2" s="25"/>
      <c r="R2" s="25"/>
      <c r="S2" s="25"/>
      <c r="T2" s="25"/>
      <c r="U2" s="25"/>
      <c r="V2" s="25"/>
      <c r="W2" s="25"/>
      <c r="X2" s="25"/>
      <c r="Y2" s="25"/>
      <c r="Z2" s="25"/>
      <c r="AA2" s="25"/>
      <c r="AB2" s="25"/>
    </row>
    <row r="3" spans="1:28" ht="15.75" customHeight="1">
      <c r="A3" s="58"/>
      <c r="B3" s="58"/>
      <c r="C3" s="58"/>
      <c r="D3" s="111"/>
      <c r="E3" s="106"/>
      <c r="F3" s="106"/>
      <c r="G3" s="25"/>
      <c r="H3" s="106"/>
      <c r="I3" s="107"/>
      <c r="J3" s="25"/>
      <c r="K3" s="25"/>
      <c r="L3" s="25"/>
      <c r="M3" s="25"/>
      <c r="N3" s="25"/>
      <c r="O3" s="25"/>
      <c r="P3" s="25"/>
      <c r="Q3" s="25"/>
      <c r="R3" s="25"/>
      <c r="S3" s="25"/>
      <c r="T3" s="25"/>
      <c r="U3" s="25"/>
      <c r="V3" s="25"/>
      <c r="W3" s="25"/>
      <c r="X3" s="25"/>
      <c r="Y3" s="25"/>
      <c r="Z3" s="25"/>
      <c r="AA3" s="25"/>
      <c r="AB3" s="25"/>
    </row>
    <row r="4" spans="1:28" ht="15.75" customHeight="1">
      <c r="A4" s="57" t="s">
        <v>124</v>
      </c>
      <c r="B4" s="58"/>
      <c r="C4" s="58"/>
      <c r="D4" s="111"/>
      <c r="E4" s="106"/>
      <c r="F4" s="106"/>
      <c r="G4" s="25"/>
      <c r="H4" s="106"/>
      <c r="I4" s="107"/>
      <c r="J4" s="25"/>
      <c r="K4" s="25"/>
      <c r="L4" s="25"/>
      <c r="M4" s="25"/>
      <c r="N4" s="25"/>
      <c r="O4" s="25"/>
      <c r="P4" s="25"/>
      <c r="Q4" s="25"/>
      <c r="R4" s="25"/>
      <c r="S4" s="25"/>
      <c r="T4" s="25"/>
      <c r="U4" s="25"/>
      <c r="V4" s="25"/>
      <c r="W4" s="25"/>
      <c r="X4" s="25"/>
      <c r="Y4" s="25"/>
      <c r="Z4" s="25"/>
      <c r="AA4" s="25"/>
      <c r="AB4" s="25"/>
    </row>
    <row r="5" spans="1:28" ht="15.75" customHeight="1">
      <c r="A5" s="59" t="s">
        <v>125</v>
      </c>
      <c r="B5" s="59" t="s">
        <v>1</v>
      </c>
      <c r="C5" s="59" t="s">
        <v>219</v>
      </c>
      <c r="D5" s="112"/>
      <c r="E5" s="113"/>
      <c r="F5" s="113"/>
      <c r="G5" s="114"/>
      <c r="H5" s="113"/>
      <c r="I5" s="115"/>
      <c r="J5" s="113"/>
    </row>
    <row r="6" spans="1:28" ht="15.75" customHeight="1">
      <c r="A6" s="60" t="s">
        <v>220</v>
      </c>
      <c r="B6" s="61">
        <v>339</v>
      </c>
      <c r="C6" s="61" t="s">
        <v>221</v>
      </c>
      <c r="D6" s="112"/>
      <c r="E6" s="113"/>
      <c r="F6" s="113"/>
      <c r="G6" s="114"/>
      <c r="H6" s="113"/>
      <c r="I6" s="115"/>
      <c r="J6" s="113"/>
    </row>
    <row r="7" spans="1:28" ht="15.75" customHeight="1">
      <c r="A7" s="60" t="s">
        <v>222</v>
      </c>
      <c r="B7" s="61">
        <v>35792</v>
      </c>
      <c r="C7" s="61" t="s">
        <v>223</v>
      </c>
      <c r="D7" s="112"/>
      <c r="E7" s="113"/>
      <c r="F7" s="113"/>
      <c r="G7" s="114"/>
      <c r="H7" s="113"/>
      <c r="I7" s="115"/>
      <c r="J7" s="113"/>
    </row>
    <row r="8" spans="1:28" ht="15.75" customHeight="1">
      <c r="A8" s="60" t="s">
        <v>224</v>
      </c>
      <c r="B8" s="62">
        <f>92336+4144</f>
        <v>96480</v>
      </c>
      <c r="C8" s="61" t="s">
        <v>225</v>
      </c>
      <c r="D8" s="112"/>
      <c r="E8" s="113"/>
      <c r="F8" s="113"/>
      <c r="G8" s="114"/>
      <c r="H8" s="113"/>
      <c r="I8" s="115"/>
      <c r="J8" s="113"/>
    </row>
    <row r="9" spans="1:28" ht="15.75" customHeight="1">
      <c r="A9" s="60" t="s">
        <v>226</v>
      </c>
      <c r="B9" s="61" t="s">
        <v>227</v>
      </c>
      <c r="C9" s="61" t="s">
        <v>146</v>
      </c>
      <c r="D9" s="112"/>
      <c r="E9" s="113"/>
      <c r="F9" s="113"/>
      <c r="G9" s="114"/>
      <c r="H9" s="113"/>
      <c r="I9" s="115"/>
      <c r="J9" s="113"/>
    </row>
    <row r="10" spans="1:28" ht="15.75" customHeight="1">
      <c r="A10" s="113"/>
      <c r="B10" s="113"/>
      <c r="C10" s="116"/>
      <c r="D10" s="113"/>
      <c r="E10" s="113"/>
      <c r="F10" s="113"/>
      <c r="G10" s="114"/>
      <c r="H10" s="113"/>
      <c r="I10" s="115"/>
      <c r="J10" s="113"/>
    </row>
    <row r="11" spans="1:28" ht="15.75" customHeight="1">
      <c r="A11" s="113"/>
      <c r="B11" s="113"/>
      <c r="C11" s="116"/>
      <c r="D11" s="113"/>
      <c r="E11" s="113"/>
      <c r="F11" s="113"/>
      <c r="G11" s="114"/>
      <c r="H11" s="113"/>
      <c r="I11" s="115"/>
      <c r="J11" s="113"/>
    </row>
    <row r="12" spans="1:28" ht="15.75" customHeight="1">
      <c r="A12" s="113"/>
      <c r="B12" s="113" t="s">
        <v>228</v>
      </c>
      <c r="C12" s="116">
        <v>339</v>
      </c>
      <c r="D12" s="113"/>
      <c r="E12" s="113"/>
      <c r="F12" s="113"/>
      <c r="G12" s="114"/>
      <c r="H12" s="113"/>
      <c r="I12" s="115"/>
      <c r="J12" s="113"/>
    </row>
    <row r="13" spans="1:28" ht="15.75" customHeight="1">
      <c r="A13" s="117" t="s">
        <v>229</v>
      </c>
      <c r="B13" s="118" t="s">
        <v>230</v>
      </c>
      <c r="C13" s="118" t="s">
        <v>231</v>
      </c>
      <c r="D13" s="118" t="s">
        <v>232</v>
      </c>
      <c r="E13" s="118" t="s">
        <v>233</v>
      </c>
      <c r="F13" s="118" t="s">
        <v>234</v>
      </c>
      <c r="G13" s="119" t="s">
        <v>235</v>
      </c>
      <c r="H13" s="118" t="s">
        <v>236</v>
      </c>
      <c r="I13" s="118" t="s">
        <v>237</v>
      </c>
      <c r="J13" s="118" t="s">
        <v>238</v>
      </c>
      <c r="K13" s="120" t="s">
        <v>239</v>
      </c>
      <c r="L13" s="120" t="s">
        <v>240</v>
      </c>
      <c r="M13" s="121" t="s">
        <v>241</v>
      </c>
    </row>
    <row r="14" spans="1:28" ht="15.75" customHeight="1">
      <c r="A14" s="122" t="s">
        <v>242</v>
      </c>
      <c r="B14" s="123" t="s">
        <v>243</v>
      </c>
      <c r="C14" s="123" t="str">
        <f t="shared" ref="C14:C32" si="0">LEFT(E14,FIND(":",E14)-1)</f>
        <v>Cost</v>
      </c>
      <c r="D14" s="123" t="str">
        <f t="shared" ref="D14:D32" si="1">RIGHT(E14, LEN(E14) - FIND(":",E14))</f>
        <v xml:space="preserve"> $50,000</v>
      </c>
      <c r="E14" s="123" t="s">
        <v>244</v>
      </c>
      <c r="F14" s="123" t="s">
        <v>245</v>
      </c>
      <c r="G14" s="124">
        <v>5000</v>
      </c>
      <c r="H14" s="123" t="s">
        <v>246</v>
      </c>
      <c r="I14" s="125">
        <f t="shared" ref="I14:I32" si="2">G14/$D$2*$B$6</f>
        <v>8475</v>
      </c>
      <c r="J14" s="126">
        <f t="shared" ref="J14:J32" si="3">D14/$D$2*$B$6</f>
        <v>84750</v>
      </c>
      <c r="K14" s="125">
        <f t="shared" ref="K14:K32" si="4">G14/$D$2*$B$7</f>
        <v>894800</v>
      </c>
      <c r="L14" s="125">
        <f t="shared" ref="L14:L32" si="5">G14/$D$2*$B$8</f>
        <v>2412000</v>
      </c>
      <c r="M14" s="127"/>
    </row>
    <row r="15" spans="1:28" ht="15.75" customHeight="1">
      <c r="A15" s="128" t="s">
        <v>247</v>
      </c>
      <c r="B15" s="129" t="s">
        <v>248</v>
      </c>
      <c r="C15" s="130" t="str">
        <f t="shared" si="0"/>
        <v>Cost</v>
      </c>
      <c r="D15" s="130" t="str">
        <f t="shared" si="1"/>
        <v xml:space="preserve"> $0</v>
      </c>
      <c r="E15" s="129" t="s">
        <v>249</v>
      </c>
      <c r="F15" s="129" t="s">
        <v>250</v>
      </c>
      <c r="G15" s="131">
        <v>2312</v>
      </c>
      <c r="H15" s="129" t="s">
        <v>251</v>
      </c>
      <c r="I15" s="132">
        <f t="shared" si="2"/>
        <v>3918.84</v>
      </c>
      <c r="J15" s="133">
        <f t="shared" si="3"/>
        <v>0</v>
      </c>
      <c r="K15" s="134">
        <f t="shared" si="4"/>
        <v>413755.52</v>
      </c>
      <c r="L15" s="132">
        <f t="shared" si="5"/>
        <v>1115308.8</v>
      </c>
      <c r="M15" s="135"/>
    </row>
    <row r="16" spans="1:28" ht="15.75" customHeight="1">
      <c r="A16" s="122" t="s">
        <v>252</v>
      </c>
      <c r="B16" s="123" t="s">
        <v>253</v>
      </c>
      <c r="C16" s="123" t="str">
        <f t="shared" si="0"/>
        <v>Cost</v>
      </c>
      <c r="D16" s="123" t="str">
        <f t="shared" si="1"/>
        <v xml:space="preserve"> $250000000</v>
      </c>
      <c r="E16" s="123" t="s">
        <v>254</v>
      </c>
      <c r="F16" s="123" t="s">
        <v>255</v>
      </c>
      <c r="G16" s="124">
        <v>1840</v>
      </c>
      <c r="H16" s="123" t="s">
        <v>256</v>
      </c>
      <c r="I16" s="125">
        <f t="shared" si="2"/>
        <v>3118.7999999999997</v>
      </c>
      <c r="J16" s="126">
        <f t="shared" si="3"/>
        <v>423750000</v>
      </c>
      <c r="K16" s="125">
        <f t="shared" si="4"/>
        <v>329286.39999999997</v>
      </c>
      <c r="L16" s="125">
        <f t="shared" si="5"/>
        <v>887615.99999999988</v>
      </c>
      <c r="M16" s="127"/>
    </row>
    <row r="17" spans="1:13" ht="15.75" customHeight="1">
      <c r="A17" s="128" t="s">
        <v>257</v>
      </c>
      <c r="B17" s="129" t="s">
        <v>258</v>
      </c>
      <c r="C17" s="130" t="str">
        <f t="shared" si="0"/>
        <v>Cost</v>
      </c>
      <c r="D17" s="130" t="str">
        <f t="shared" si="1"/>
        <v xml:space="preserve"> $1000000</v>
      </c>
      <c r="E17" s="129" t="s">
        <v>259</v>
      </c>
      <c r="F17" s="129" t="s">
        <v>260</v>
      </c>
      <c r="G17" s="131">
        <v>1035</v>
      </c>
      <c r="H17" s="129" t="s">
        <v>261</v>
      </c>
      <c r="I17" s="132">
        <f t="shared" si="2"/>
        <v>1754.325</v>
      </c>
      <c r="J17" s="133">
        <f t="shared" si="3"/>
        <v>1695000</v>
      </c>
      <c r="K17" s="134">
        <f t="shared" si="4"/>
        <v>185223.6</v>
      </c>
      <c r="L17" s="132">
        <f t="shared" si="5"/>
        <v>499284</v>
      </c>
      <c r="M17" s="135"/>
    </row>
    <row r="18" spans="1:13" ht="15.75" customHeight="1">
      <c r="A18" s="122" t="s">
        <v>262</v>
      </c>
      <c r="B18" s="123" t="s">
        <v>263</v>
      </c>
      <c r="C18" s="123" t="str">
        <f t="shared" si="0"/>
        <v>Cost</v>
      </c>
      <c r="D18" s="123" t="str">
        <f t="shared" si="1"/>
        <v xml:space="preserve"> $10,000</v>
      </c>
      <c r="E18" s="123" t="s">
        <v>264</v>
      </c>
      <c r="F18" s="123" t="s">
        <v>265</v>
      </c>
      <c r="G18" s="136">
        <v>500</v>
      </c>
      <c r="H18" s="123" t="s">
        <v>266</v>
      </c>
      <c r="I18" s="125">
        <f t="shared" si="2"/>
        <v>847.5</v>
      </c>
      <c r="J18" s="126">
        <f t="shared" si="3"/>
        <v>16950</v>
      </c>
      <c r="K18" s="125">
        <f t="shared" si="4"/>
        <v>89480</v>
      </c>
      <c r="L18" s="125">
        <f t="shared" si="5"/>
        <v>241200</v>
      </c>
      <c r="M18" s="127"/>
    </row>
    <row r="19" spans="1:13" ht="15.75" customHeight="1">
      <c r="A19" s="128" t="s">
        <v>267</v>
      </c>
      <c r="B19" s="129" t="s">
        <v>268</v>
      </c>
      <c r="C19" s="130" t="str">
        <f t="shared" si="0"/>
        <v>Savings</v>
      </c>
      <c r="D19" s="130" t="str">
        <f t="shared" si="1"/>
        <v xml:space="preserve"> $75,000</v>
      </c>
      <c r="E19" s="129" t="s">
        <v>269</v>
      </c>
      <c r="F19" s="129" t="s">
        <v>270</v>
      </c>
      <c r="G19" s="137">
        <v>460</v>
      </c>
      <c r="H19" s="129" t="s">
        <v>271</v>
      </c>
      <c r="I19" s="132">
        <f t="shared" si="2"/>
        <v>779.69999999999993</v>
      </c>
      <c r="J19" s="133">
        <f t="shared" si="3"/>
        <v>127125</v>
      </c>
      <c r="K19" s="134">
        <f t="shared" si="4"/>
        <v>82321.599999999991</v>
      </c>
      <c r="L19" s="132">
        <f t="shared" si="5"/>
        <v>221903.99999999997</v>
      </c>
      <c r="M19" s="135"/>
    </row>
    <row r="20" spans="1:13" ht="15.75" customHeight="1">
      <c r="A20" s="122" t="s">
        <v>272</v>
      </c>
      <c r="B20" s="123" t="s">
        <v>273</v>
      </c>
      <c r="C20" s="123" t="str">
        <f t="shared" si="0"/>
        <v>Savings</v>
      </c>
      <c r="D20" s="123" t="str">
        <f t="shared" si="1"/>
        <v xml:space="preserve"> $18,000</v>
      </c>
      <c r="E20" s="123" t="s">
        <v>274</v>
      </c>
      <c r="F20" s="123" t="s">
        <v>275</v>
      </c>
      <c r="G20" s="136">
        <v>318</v>
      </c>
      <c r="H20" s="123" t="s">
        <v>276</v>
      </c>
      <c r="I20" s="125">
        <f t="shared" si="2"/>
        <v>539.01</v>
      </c>
      <c r="J20" s="126">
        <f t="shared" si="3"/>
        <v>30510</v>
      </c>
      <c r="K20" s="125">
        <f t="shared" si="4"/>
        <v>56909.280000000006</v>
      </c>
      <c r="L20" s="125">
        <f t="shared" si="5"/>
        <v>153403.20000000001</v>
      </c>
      <c r="M20" s="127"/>
    </row>
    <row r="21" spans="1:13" ht="15.75" customHeight="1">
      <c r="A21" s="128" t="s">
        <v>277</v>
      </c>
      <c r="B21" s="129" t="s">
        <v>278</v>
      </c>
      <c r="C21" s="130" t="str">
        <f t="shared" si="0"/>
        <v>Cost</v>
      </c>
      <c r="D21" s="130" t="str">
        <f t="shared" si="1"/>
        <v xml:space="preserve"> $1,000</v>
      </c>
      <c r="E21" s="129" t="s">
        <v>279</v>
      </c>
      <c r="F21" s="129" t="s">
        <v>280</v>
      </c>
      <c r="G21" s="137">
        <v>169</v>
      </c>
      <c r="H21" s="129" t="s">
        <v>281</v>
      </c>
      <c r="I21" s="132">
        <f t="shared" si="2"/>
        <v>286.45499999999998</v>
      </c>
      <c r="J21" s="133">
        <f t="shared" si="3"/>
        <v>1695</v>
      </c>
      <c r="K21" s="134">
        <f t="shared" si="4"/>
        <v>30244.239999999998</v>
      </c>
      <c r="L21" s="132">
        <f t="shared" si="5"/>
        <v>81525.599999999991</v>
      </c>
      <c r="M21" s="135"/>
    </row>
    <row r="22" spans="1:13" ht="15.75" customHeight="1">
      <c r="A22" s="122" t="s">
        <v>282</v>
      </c>
      <c r="B22" s="123" t="s">
        <v>283</v>
      </c>
      <c r="C22" s="123" t="str">
        <f t="shared" si="0"/>
        <v>Cost</v>
      </c>
      <c r="D22" s="123" t="str">
        <f t="shared" si="1"/>
        <v xml:space="preserve"> $100,000</v>
      </c>
      <c r="E22" s="123" t="s">
        <v>284</v>
      </c>
      <c r="F22" s="123" t="s">
        <v>285</v>
      </c>
      <c r="G22" s="136">
        <v>136</v>
      </c>
      <c r="H22" s="123" t="s">
        <v>286</v>
      </c>
      <c r="I22" s="125">
        <f t="shared" si="2"/>
        <v>230.52</v>
      </c>
      <c r="J22" s="126">
        <f t="shared" si="3"/>
        <v>169500</v>
      </c>
      <c r="K22" s="125">
        <f t="shared" si="4"/>
        <v>24338.560000000001</v>
      </c>
      <c r="L22" s="125">
        <f t="shared" si="5"/>
        <v>65606.400000000009</v>
      </c>
      <c r="M22" s="127"/>
    </row>
    <row r="23" spans="1:13" ht="15.75" customHeight="1">
      <c r="A23" s="128" t="s">
        <v>287</v>
      </c>
      <c r="B23" s="129" t="s">
        <v>288</v>
      </c>
      <c r="C23" s="130" t="str">
        <f t="shared" si="0"/>
        <v>Savings</v>
      </c>
      <c r="D23" s="130" t="str">
        <f t="shared" si="1"/>
        <v xml:space="preserve"> $1000000</v>
      </c>
      <c r="E23" s="129" t="s">
        <v>289</v>
      </c>
      <c r="F23" s="129" t="s">
        <v>290</v>
      </c>
      <c r="G23" s="137">
        <v>100</v>
      </c>
      <c r="H23" s="129" t="s">
        <v>291</v>
      </c>
      <c r="I23" s="132">
        <f t="shared" si="2"/>
        <v>169.5</v>
      </c>
      <c r="J23" s="133">
        <f t="shared" si="3"/>
        <v>1695000</v>
      </c>
      <c r="K23" s="134">
        <f t="shared" si="4"/>
        <v>17896</v>
      </c>
      <c r="L23" s="132">
        <f t="shared" si="5"/>
        <v>48240</v>
      </c>
      <c r="M23" s="135"/>
    </row>
    <row r="24" spans="1:13" ht="15.75" customHeight="1">
      <c r="A24" s="122" t="s">
        <v>292</v>
      </c>
      <c r="B24" s="123" t="s">
        <v>293</v>
      </c>
      <c r="C24" s="123" t="str">
        <f t="shared" si="0"/>
        <v>Cost</v>
      </c>
      <c r="D24" s="123" t="str">
        <f t="shared" si="1"/>
        <v xml:space="preserve"> $0</v>
      </c>
      <c r="E24" s="123" t="s">
        <v>249</v>
      </c>
      <c r="F24" s="123" t="s">
        <v>294</v>
      </c>
      <c r="G24" s="136">
        <v>86</v>
      </c>
      <c r="H24" s="123" t="s">
        <v>295</v>
      </c>
      <c r="I24" s="125">
        <f t="shared" si="2"/>
        <v>145.77000000000001</v>
      </c>
      <c r="J24" s="126">
        <f t="shared" si="3"/>
        <v>0</v>
      </c>
      <c r="K24" s="125">
        <f t="shared" si="4"/>
        <v>15390.56</v>
      </c>
      <c r="L24" s="125">
        <f t="shared" si="5"/>
        <v>41486.400000000001</v>
      </c>
      <c r="M24" s="127"/>
    </row>
    <row r="25" spans="1:13" ht="15.75" customHeight="1">
      <c r="A25" s="128" t="s">
        <v>296</v>
      </c>
      <c r="B25" s="129" t="s">
        <v>297</v>
      </c>
      <c r="C25" s="130" t="str">
        <f t="shared" si="0"/>
        <v>Cost</v>
      </c>
      <c r="D25" s="130" t="str">
        <f t="shared" si="1"/>
        <v xml:space="preserve"> $10,000</v>
      </c>
      <c r="E25" s="129" t="s">
        <v>264</v>
      </c>
      <c r="F25" s="129" t="s">
        <v>298</v>
      </c>
      <c r="G25" s="137">
        <v>53</v>
      </c>
      <c r="H25" s="129" t="s">
        <v>299</v>
      </c>
      <c r="I25" s="132">
        <f t="shared" si="2"/>
        <v>89.835000000000008</v>
      </c>
      <c r="J25" s="133">
        <f t="shared" si="3"/>
        <v>16950</v>
      </c>
      <c r="K25" s="134">
        <f t="shared" si="4"/>
        <v>9484.880000000001</v>
      </c>
      <c r="L25" s="132">
        <f t="shared" si="5"/>
        <v>25567.200000000001</v>
      </c>
      <c r="M25" s="135"/>
    </row>
    <row r="26" spans="1:13" ht="15.75" customHeight="1">
      <c r="A26" s="122" t="s">
        <v>300</v>
      </c>
      <c r="B26" s="123" t="s">
        <v>301</v>
      </c>
      <c r="C26" s="123" t="str">
        <f t="shared" si="0"/>
        <v>Cost</v>
      </c>
      <c r="D26" s="123" t="str">
        <f t="shared" si="1"/>
        <v xml:space="preserve"> $73,000</v>
      </c>
      <c r="E26" s="123" t="s">
        <v>302</v>
      </c>
      <c r="F26" s="123" t="s">
        <v>303</v>
      </c>
      <c r="G26" s="136">
        <v>37</v>
      </c>
      <c r="H26" s="123" t="s">
        <v>304</v>
      </c>
      <c r="I26" s="125">
        <f t="shared" si="2"/>
        <v>62.714999999999996</v>
      </c>
      <c r="J26" s="126">
        <f t="shared" si="3"/>
        <v>123735</v>
      </c>
      <c r="K26" s="125">
        <f t="shared" si="4"/>
        <v>6621.5199999999995</v>
      </c>
      <c r="L26" s="125">
        <f t="shared" si="5"/>
        <v>17848.8</v>
      </c>
      <c r="M26" s="127"/>
    </row>
    <row r="27" spans="1:13" ht="15.75" customHeight="1">
      <c r="A27" s="128" t="s">
        <v>305</v>
      </c>
      <c r="B27" s="129" t="s">
        <v>306</v>
      </c>
      <c r="C27" s="130" t="str">
        <f t="shared" si="0"/>
        <v>Savings</v>
      </c>
      <c r="D27" s="130" t="str">
        <f t="shared" si="1"/>
        <v xml:space="preserve"> $12,000</v>
      </c>
      <c r="E27" s="129" t="s">
        <v>307</v>
      </c>
      <c r="F27" s="129" t="s">
        <v>308</v>
      </c>
      <c r="G27" s="137">
        <v>30</v>
      </c>
      <c r="H27" s="129" t="s">
        <v>309</v>
      </c>
      <c r="I27" s="132">
        <f t="shared" si="2"/>
        <v>50.85</v>
      </c>
      <c r="J27" s="133">
        <f t="shared" si="3"/>
        <v>20340</v>
      </c>
      <c r="K27" s="134">
        <f t="shared" si="4"/>
        <v>5368.8</v>
      </c>
      <c r="L27" s="132">
        <f t="shared" si="5"/>
        <v>14472</v>
      </c>
      <c r="M27" s="135"/>
    </row>
    <row r="28" spans="1:13" ht="15.75" customHeight="1">
      <c r="A28" s="122" t="s">
        <v>310</v>
      </c>
      <c r="B28" s="123" t="s">
        <v>311</v>
      </c>
      <c r="C28" s="123" t="str">
        <f t="shared" si="0"/>
        <v>Cost</v>
      </c>
      <c r="D28" s="123" t="str">
        <f t="shared" si="1"/>
        <v xml:space="preserve"> $16,000</v>
      </c>
      <c r="E28" s="123" t="s">
        <v>312</v>
      </c>
      <c r="F28" s="123" t="s">
        <v>313</v>
      </c>
      <c r="G28" s="136">
        <v>19</v>
      </c>
      <c r="H28" s="123" t="s">
        <v>314</v>
      </c>
      <c r="I28" s="125">
        <f t="shared" si="2"/>
        <v>32.204999999999998</v>
      </c>
      <c r="J28" s="126">
        <f t="shared" si="3"/>
        <v>27120</v>
      </c>
      <c r="K28" s="125">
        <f t="shared" si="4"/>
        <v>3400.2400000000002</v>
      </c>
      <c r="L28" s="125">
        <f t="shared" si="5"/>
        <v>9165.6</v>
      </c>
      <c r="M28" s="127"/>
    </row>
    <row r="29" spans="1:13" ht="15.75" customHeight="1">
      <c r="A29" s="128" t="s">
        <v>315</v>
      </c>
      <c r="B29" s="129" t="s">
        <v>316</v>
      </c>
      <c r="C29" s="130" t="str">
        <f t="shared" si="0"/>
        <v>Savings</v>
      </c>
      <c r="D29" s="130" t="str">
        <f t="shared" si="1"/>
        <v xml:space="preserve"> $255,000</v>
      </c>
      <c r="E29" s="129" t="s">
        <v>317</v>
      </c>
      <c r="F29" s="129" t="s">
        <v>318</v>
      </c>
      <c r="G29" s="137">
        <v>10.8</v>
      </c>
      <c r="H29" s="129" t="s">
        <v>319</v>
      </c>
      <c r="I29" s="132">
        <f t="shared" si="2"/>
        <v>18.306000000000001</v>
      </c>
      <c r="J29" s="133">
        <f t="shared" si="3"/>
        <v>432225</v>
      </c>
      <c r="K29" s="134">
        <f t="shared" si="4"/>
        <v>1932.7680000000003</v>
      </c>
      <c r="L29" s="132">
        <f t="shared" si="5"/>
        <v>5209.920000000001</v>
      </c>
      <c r="M29" s="135"/>
    </row>
    <row r="30" spans="1:13" ht="15.75" customHeight="1">
      <c r="A30" s="122" t="s">
        <v>320</v>
      </c>
      <c r="B30" s="123" t="s">
        <v>321</v>
      </c>
      <c r="C30" s="123" t="str">
        <f t="shared" si="0"/>
        <v>Cost</v>
      </c>
      <c r="D30" s="123" t="str">
        <f t="shared" si="1"/>
        <v xml:space="preserve"> $0</v>
      </c>
      <c r="E30" s="123" t="s">
        <v>249</v>
      </c>
      <c r="F30" s="123" t="s">
        <v>322</v>
      </c>
      <c r="G30" s="136">
        <v>7</v>
      </c>
      <c r="H30" s="123" t="s">
        <v>323</v>
      </c>
      <c r="I30" s="125">
        <f t="shared" si="2"/>
        <v>11.865000000000002</v>
      </c>
      <c r="J30" s="126">
        <f t="shared" si="3"/>
        <v>0</v>
      </c>
      <c r="K30" s="125">
        <f t="shared" si="4"/>
        <v>1252.72</v>
      </c>
      <c r="L30" s="125">
        <f t="shared" si="5"/>
        <v>3376.8</v>
      </c>
      <c r="M30" s="127"/>
    </row>
    <row r="31" spans="1:13" ht="15.75" customHeight="1">
      <c r="A31" s="128" t="s">
        <v>324</v>
      </c>
      <c r="B31" s="129" t="s">
        <v>325</v>
      </c>
      <c r="C31" s="130" t="str">
        <f t="shared" si="0"/>
        <v>Savings</v>
      </c>
      <c r="D31" s="130" t="str">
        <f t="shared" si="1"/>
        <v xml:space="preserve"> $117,000</v>
      </c>
      <c r="E31" s="129" t="s">
        <v>326</v>
      </c>
      <c r="F31" s="129" t="s">
        <v>327</v>
      </c>
      <c r="G31" s="137">
        <v>0.5</v>
      </c>
      <c r="H31" s="129" t="s">
        <v>328</v>
      </c>
      <c r="I31" s="132">
        <f t="shared" si="2"/>
        <v>0.84750000000000003</v>
      </c>
      <c r="J31" s="133">
        <f t="shared" si="3"/>
        <v>198315</v>
      </c>
      <c r="K31" s="134">
        <f t="shared" si="4"/>
        <v>89.48</v>
      </c>
      <c r="L31" s="132">
        <f t="shared" si="5"/>
        <v>241.20000000000002</v>
      </c>
      <c r="M31" s="135"/>
    </row>
    <row r="32" spans="1:13" ht="15.75" customHeight="1">
      <c r="A32" s="138" t="s">
        <v>329</v>
      </c>
      <c r="B32" s="139" t="s">
        <v>330</v>
      </c>
      <c r="C32" s="139" t="str">
        <f t="shared" si="0"/>
        <v>Cost</v>
      </c>
      <c r="D32" s="139" t="str">
        <f t="shared" si="1"/>
        <v xml:space="preserve"> $3,000</v>
      </c>
      <c r="E32" s="139" t="s">
        <v>331</v>
      </c>
      <c r="F32" s="139" t="s">
        <v>332</v>
      </c>
      <c r="G32" s="140">
        <v>0.5</v>
      </c>
      <c r="H32" s="139" t="s">
        <v>333</v>
      </c>
      <c r="I32" s="141">
        <f t="shared" si="2"/>
        <v>0.84750000000000003</v>
      </c>
      <c r="J32" s="142">
        <f t="shared" si="3"/>
        <v>5085</v>
      </c>
      <c r="K32" s="141">
        <f t="shared" si="4"/>
        <v>89.48</v>
      </c>
      <c r="L32" s="141">
        <f t="shared" si="5"/>
        <v>241.20000000000002</v>
      </c>
      <c r="M32" s="143"/>
    </row>
    <row r="33" spans="9:9" ht="15.75" customHeight="1">
      <c r="I33" s="31"/>
    </row>
    <row r="34" spans="9:9" ht="15.75" customHeight="1">
      <c r="I34" s="31"/>
    </row>
    <row r="35" spans="9:9" ht="15.75" customHeight="1">
      <c r="I35" s="31"/>
    </row>
    <row r="36" spans="9:9" ht="15.75" customHeight="1">
      <c r="I36" s="31"/>
    </row>
    <row r="37" spans="9:9" ht="15.75" customHeight="1">
      <c r="I37" s="31"/>
    </row>
    <row r="38" spans="9:9" ht="15.75" customHeight="1">
      <c r="I38" s="31"/>
    </row>
    <row r="39" spans="9:9" ht="15.75" customHeight="1">
      <c r="I39" s="31"/>
    </row>
    <row r="40" spans="9:9" ht="15.75" customHeight="1">
      <c r="I40" s="31"/>
    </row>
    <row r="41" spans="9:9" ht="15.75" customHeight="1">
      <c r="I41" s="31"/>
    </row>
    <row r="42" spans="9:9" ht="15.75" customHeight="1">
      <c r="I42" s="31"/>
    </row>
    <row r="43" spans="9:9" ht="15.75" customHeight="1">
      <c r="I43" s="31"/>
    </row>
    <row r="44" spans="9:9" ht="15.75" customHeight="1">
      <c r="I44" s="31"/>
    </row>
    <row r="45" spans="9:9" ht="15.75" customHeight="1">
      <c r="I45" s="31"/>
    </row>
    <row r="46" spans="9:9" ht="15.75" customHeight="1">
      <c r="I46" s="31"/>
    </row>
    <row r="47" spans="9:9" ht="15.75" customHeight="1">
      <c r="I47" s="31"/>
    </row>
    <row r="48" spans="9:9" ht="15.75" customHeight="1">
      <c r="I48" s="31"/>
    </row>
    <row r="49" spans="9:9" ht="15.75" customHeight="1">
      <c r="I49" s="31"/>
    </row>
    <row r="50" spans="9:9" ht="15.75" customHeight="1">
      <c r="I50" s="31"/>
    </row>
    <row r="51" spans="9:9" ht="15.75" customHeight="1">
      <c r="I51" s="31"/>
    </row>
    <row r="52" spans="9:9" ht="15.75" customHeight="1">
      <c r="I52" s="31"/>
    </row>
    <row r="53" spans="9:9" ht="15.75" customHeight="1">
      <c r="I53" s="31"/>
    </row>
    <row r="54" spans="9:9" ht="15.75" customHeight="1">
      <c r="I54" s="31"/>
    </row>
    <row r="55" spans="9:9" ht="15.75" customHeight="1">
      <c r="I55" s="31"/>
    </row>
    <row r="56" spans="9:9" ht="15.75" customHeight="1">
      <c r="I56" s="31"/>
    </row>
    <row r="57" spans="9:9" ht="15.75" customHeight="1">
      <c r="I57" s="31"/>
    </row>
    <row r="58" spans="9:9" ht="15.75" customHeight="1">
      <c r="I58" s="31"/>
    </row>
    <row r="59" spans="9:9" ht="15.75" customHeight="1">
      <c r="I59" s="31"/>
    </row>
    <row r="60" spans="9:9" ht="15.75" customHeight="1">
      <c r="I60" s="31"/>
    </row>
    <row r="61" spans="9:9" ht="15.75" customHeight="1">
      <c r="I61" s="31"/>
    </row>
    <row r="62" spans="9:9" ht="15.75" customHeight="1">
      <c r="I62" s="31"/>
    </row>
    <row r="63" spans="9:9" ht="15.75" customHeight="1">
      <c r="I63" s="31"/>
    </row>
    <row r="64" spans="9:9" ht="15.75" customHeight="1">
      <c r="I64" s="31"/>
    </row>
    <row r="65" spans="9:9" ht="15.75" customHeight="1">
      <c r="I65" s="31"/>
    </row>
    <row r="66" spans="9:9" ht="15.75" customHeight="1">
      <c r="I66" s="31"/>
    </row>
    <row r="67" spans="9:9" ht="15.75" customHeight="1">
      <c r="I67" s="31"/>
    </row>
    <row r="68" spans="9:9" ht="15.75" customHeight="1">
      <c r="I68" s="31"/>
    </row>
    <row r="69" spans="9:9" ht="15.75" customHeight="1">
      <c r="I69" s="31"/>
    </row>
    <row r="70" spans="9:9" ht="15.75" customHeight="1">
      <c r="I70" s="31"/>
    </row>
    <row r="71" spans="9:9" ht="15.75" customHeight="1">
      <c r="I71" s="31"/>
    </row>
    <row r="72" spans="9:9" ht="15.75" customHeight="1">
      <c r="I72" s="31"/>
    </row>
    <row r="73" spans="9:9" ht="15.75" customHeight="1">
      <c r="I73" s="31"/>
    </row>
    <row r="74" spans="9:9" ht="15.75" customHeight="1">
      <c r="I74" s="31"/>
    </row>
    <row r="75" spans="9:9" ht="15.75" customHeight="1">
      <c r="I75" s="31"/>
    </row>
    <row r="76" spans="9:9" ht="15.75" customHeight="1">
      <c r="I76" s="31"/>
    </row>
    <row r="77" spans="9:9" ht="15.75" customHeight="1">
      <c r="I77" s="31"/>
    </row>
    <row r="78" spans="9:9" ht="15.75" customHeight="1">
      <c r="I78" s="31"/>
    </row>
    <row r="79" spans="9:9" ht="15.75" customHeight="1">
      <c r="I79" s="31"/>
    </row>
    <row r="80" spans="9:9" ht="15.75" customHeight="1">
      <c r="I80" s="31"/>
    </row>
    <row r="81" spans="9:9" ht="15.75" customHeight="1">
      <c r="I81" s="31"/>
    </row>
    <row r="82" spans="9:9" ht="15.75" customHeight="1">
      <c r="I82" s="31"/>
    </row>
    <row r="83" spans="9:9" ht="15.75" customHeight="1">
      <c r="I83" s="31"/>
    </row>
    <row r="84" spans="9:9" ht="15.75" customHeight="1">
      <c r="I84" s="31"/>
    </row>
    <row r="85" spans="9:9" ht="15.75" customHeight="1">
      <c r="I85" s="31"/>
    </row>
    <row r="86" spans="9:9" ht="15.75" customHeight="1">
      <c r="I86" s="31"/>
    </row>
    <row r="87" spans="9:9" ht="15.75" customHeight="1">
      <c r="I87" s="31"/>
    </row>
    <row r="88" spans="9:9" ht="15.75" customHeight="1">
      <c r="I88" s="31"/>
    </row>
    <row r="89" spans="9:9" ht="15.75" customHeight="1">
      <c r="I89" s="31"/>
    </row>
    <row r="90" spans="9:9" ht="15.75" customHeight="1">
      <c r="I90" s="31"/>
    </row>
    <row r="91" spans="9:9" ht="15.75" customHeight="1">
      <c r="I91" s="31"/>
    </row>
    <row r="92" spans="9:9" ht="15.75" customHeight="1">
      <c r="I92" s="31"/>
    </row>
    <row r="93" spans="9:9" ht="15.75" customHeight="1">
      <c r="I93" s="31"/>
    </row>
    <row r="94" spans="9:9" ht="15.75" customHeight="1">
      <c r="I94" s="31"/>
    </row>
    <row r="95" spans="9:9" ht="15.75" customHeight="1">
      <c r="I95" s="31"/>
    </row>
    <row r="96" spans="9:9" ht="15.75" customHeight="1">
      <c r="I96" s="31"/>
    </row>
    <row r="97" spans="9:9" ht="15.75" customHeight="1">
      <c r="I97" s="31"/>
    </row>
    <row r="98" spans="9:9" ht="15.75" customHeight="1">
      <c r="I98" s="31"/>
    </row>
    <row r="99" spans="9:9" ht="15.75" customHeight="1">
      <c r="I99" s="31"/>
    </row>
    <row r="100" spans="9:9" ht="15.75" customHeight="1">
      <c r="I100" s="31"/>
    </row>
    <row r="101" spans="9:9" ht="15.75" customHeight="1">
      <c r="I101" s="31"/>
    </row>
    <row r="102" spans="9:9" ht="15.75" customHeight="1">
      <c r="I102" s="31"/>
    </row>
    <row r="103" spans="9:9" ht="15.75" customHeight="1">
      <c r="I103" s="31"/>
    </row>
    <row r="104" spans="9:9" ht="15.75" customHeight="1">
      <c r="I104" s="31"/>
    </row>
    <row r="105" spans="9:9" ht="15.75" customHeight="1">
      <c r="I105" s="31"/>
    </row>
    <row r="106" spans="9:9" ht="15.75" customHeight="1">
      <c r="I106" s="31"/>
    </row>
    <row r="107" spans="9:9" ht="15.75" customHeight="1">
      <c r="I107" s="31"/>
    </row>
    <row r="108" spans="9:9" ht="15.75" customHeight="1">
      <c r="I108" s="31"/>
    </row>
    <row r="109" spans="9:9" ht="15.75" customHeight="1">
      <c r="I109" s="31"/>
    </row>
    <row r="110" spans="9:9" ht="15.75" customHeight="1">
      <c r="I110" s="31"/>
    </row>
    <row r="111" spans="9:9" ht="15.75" customHeight="1">
      <c r="I111" s="31"/>
    </row>
    <row r="112" spans="9:9" ht="15.75" customHeight="1">
      <c r="I112" s="31"/>
    </row>
    <row r="113" spans="9:9" ht="15.75" customHeight="1">
      <c r="I113" s="31"/>
    </row>
    <row r="114" spans="9:9" ht="15.75" customHeight="1">
      <c r="I114" s="31"/>
    </row>
    <row r="115" spans="9:9" ht="15.75" customHeight="1">
      <c r="I115" s="31"/>
    </row>
    <row r="116" spans="9:9" ht="15.75" customHeight="1">
      <c r="I116" s="31"/>
    </row>
    <row r="117" spans="9:9" ht="15.75" customHeight="1">
      <c r="I117" s="31"/>
    </row>
    <row r="118" spans="9:9" ht="15.75" customHeight="1">
      <c r="I118" s="31"/>
    </row>
    <row r="119" spans="9:9" ht="15.75" customHeight="1">
      <c r="I119" s="31"/>
    </row>
    <row r="120" spans="9:9" ht="15.75" customHeight="1">
      <c r="I120" s="31"/>
    </row>
    <row r="121" spans="9:9" ht="15.75" customHeight="1">
      <c r="I121" s="31"/>
    </row>
    <row r="122" spans="9:9" ht="15.75" customHeight="1">
      <c r="I122" s="31"/>
    </row>
    <row r="123" spans="9:9" ht="15.75" customHeight="1">
      <c r="I123" s="31"/>
    </row>
    <row r="124" spans="9:9" ht="15.75" customHeight="1">
      <c r="I124" s="31"/>
    </row>
    <row r="125" spans="9:9" ht="15.75" customHeight="1">
      <c r="I125" s="31"/>
    </row>
    <row r="126" spans="9:9" ht="15.75" customHeight="1">
      <c r="I126" s="31"/>
    </row>
    <row r="127" spans="9:9" ht="15.75" customHeight="1">
      <c r="I127" s="31"/>
    </row>
    <row r="128" spans="9:9" ht="15.75" customHeight="1">
      <c r="I128" s="31"/>
    </row>
    <row r="129" spans="9:9" ht="15.75" customHeight="1">
      <c r="I129" s="31"/>
    </row>
    <row r="130" spans="9:9" ht="15.75" customHeight="1">
      <c r="I130" s="31"/>
    </row>
    <row r="131" spans="9:9" ht="15.75" customHeight="1">
      <c r="I131" s="31"/>
    </row>
    <row r="132" spans="9:9" ht="15.75" customHeight="1">
      <c r="I132" s="31"/>
    </row>
    <row r="133" spans="9:9" ht="15.75" customHeight="1">
      <c r="I133" s="31"/>
    </row>
    <row r="134" spans="9:9" ht="15.75" customHeight="1">
      <c r="I134" s="31"/>
    </row>
    <row r="135" spans="9:9" ht="15.75" customHeight="1">
      <c r="I135" s="31"/>
    </row>
    <row r="136" spans="9:9" ht="15.75" customHeight="1">
      <c r="I136" s="31"/>
    </row>
    <row r="137" spans="9:9" ht="15.75" customHeight="1">
      <c r="I137" s="31"/>
    </row>
    <row r="138" spans="9:9" ht="15.75" customHeight="1">
      <c r="I138" s="31"/>
    </row>
    <row r="139" spans="9:9" ht="15.75" customHeight="1">
      <c r="I139" s="31"/>
    </row>
    <row r="140" spans="9:9" ht="15.75" customHeight="1">
      <c r="I140" s="31"/>
    </row>
    <row r="141" spans="9:9" ht="15.75" customHeight="1">
      <c r="I141" s="31"/>
    </row>
    <row r="142" spans="9:9" ht="15.75" customHeight="1">
      <c r="I142" s="31"/>
    </row>
    <row r="143" spans="9:9" ht="15.75" customHeight="1">
      <c r="I143" s="31"/>
    </row>
    <row r="144" spans="9:9" ht="15.75" customHeight="1">
      <c r="I144" s="31"/>
    </row>
    <row r="145" spans="9:9" ht="15.75" customHeight="1">
      <c r="I145" s="31"/>
    </row>
    <row r="146" spans="9:9" ht="15.75" customHeight="1">
      <c r="I146" s="31"/>
    </row>
    <row r="147" spans="9:9" ht="15.75" customHeight="1">
      <c r="I147" s="31"/>
    </row>
    <row r="148" spans="9:9" ht="15.75" customHeight="1">
      <c r="I148" s="31"/>
    </row>
    <row r="149" spans="9:9" ht="15.75" customHeight="1">
      <c r="I149" s="31"/>
    </row>
    <row r="150" spans="9:9" ht="15.75" customHeight="1">
      <c r="I150" s="31"/>
    </row>
    <row r="151" spans="9:9" ht="15.75" customHeight="1">
      <c r="I151" s="31"/>
    </row>
    <row r="152" spans="9:9" ht="15.75" customHeight="1">
      <c r="I152" s="31"/>
    </row>
    <row r="153" spans="9:9" ht="15.75" customHeight="1">
      <c r="I153" s="31"/>
    </row>
    <row r="154" spans="9:9" ht="15.75" customHeight="1">
      <c r="I154" s="31"/>
    </row>
    <row r="155" spans="9:9" ht="15.75" customHeight="1">
      <c r="I155" s="31"/>
    </row>
    <row r="156" spans="9:9" ht="15.75" customHeight="1">
      <c r="I156" s="31"/>
    </row>
    <row r="157" spans="9:9" ht="15.75" customHeight="1">
      <c r="I157" s="31"/>
    </row>
    <row r="158" spans="9:9" ht="15.75" customHeight="1">
      <c r="I158" s="31"/>
    </row>
    <row r="159" spans="9:9" ht="15.75" customHeight="1">
      <c r="I159" s="31"/>
    </row>
    <row r="160" spans="9:9" ht="15.75" customHeight="1">
      <c r="I160" s="31"/>
    </row>
    <row r="161" spans="9:9" ht="15.75" customHeight="1">
      <c r="I161" s="31"/>
    </row>
    <row r="162" spans="9:9" ht="15.75" customHeight="1">
      <c r="I162" s="31"/>
    </row>
    <row r="163" spans="9:9" ht="15.75" customHeight="1">
      <c r="I163" s="31"/>
    </row>
    <row r="164" spans="9:9" ht="15.75" customHeight="1">
      <c r="I164" s="31"/>
    </row>
    <row r="165" spans="9:9" ht="15.75" customHeight="1">
      <c r="I165" s="31"/>
    </row>
    <row r="166" spans="9:9" ht="15.75" customHeight="1">
      <c r="I166" s="31"/>
    </row>
    <row r="167" spans="9:9" ht="15.75" customHeight="1">
      <c r="I167" s="31"/>
    </row>
    <row r="168" spans="9:9" ht="15.75" customHeight="1">
      <c r="I168" s="31"/>
    </row>
    <row r="169" spans="9:9" ht="15.75" customHeight="1">
      <c r="I169" s="31"/>
    </row>
    <row r="170" spans="9:9" ht="15.75" customHeight="1">
      <c r="I170" s="31"/>
    </row>
    <row r="171" spans="9:9" ht="15.75" customHeight="1">
      <c r="I171" s="31"/>
    </row>
    <row r="172" spans="9:9" ht="15.75" customHeight="1">
      <c r="I172" s="31"/>
    </row>
    <row r="173" spans="9:9" ht="15.75" customHeight="1">
      <c r="I173" s="31"/>
    </row>
    <row r="174" spans="9:9" ht="15.75" customHeight="1">
      <c r="I174" s="31"/>
    </row>
    <row r="175" spans="9:9" ht="15.75" customHeight="1">
      <c r="I175" s="31"/>
    </row>
    <row r="176" spans="9:9" ht="15.75" customHeight="1">
      <c r="I176" s="31"/>
    </row>
    <row r="177" spans="9:9" ht="15.75" customHeight="1">
      <c r="I177" s="31"/>
    </row>
    <row r="178" spans="9:9" ht="15.75" customHeight="1">
      <c r="I178" s="31"/>
    </row>
    <row r="179" spans="9:9" ht="15.75" customHeight="1">
      <c r="I179" s="31"/>
    </row>
    <row r="180" spans="9:9" ht="15.75" customHeight="1">
      <c r="I180" s="31"/>
    </row>
    <row r="181" spans="9:9" ht="15.75" customHeight="1">
      <c r="I181" s="31"/>
    </row>
    <row r="182" spans="9:9" ht="15.75" customHeight="1">
      <c r="I182" s="31"/>
    </row>
    <row r="183" spans="9:9" ht="15.75" customHeight="1">
      <c r="I183" s="31"/>
    </row>
    <row r="184" spans="9:9" ht="15.75" customHeight="1">
      <c r="I184" s="31"/>
    </row>
    <row r="185" spans="9:9" ht="15.75" customHeight="1">
      <c r="I185" s="31"/>
    </row>
    <row r="186" spans="9:9" ht="15.75" customHeight="1">
      <c r="I186" s="31"/>
    </row>
    <row r="187" spans="9:9" ht="15.75" customHeight="1">
      <c r="I187" s="31"/>
    </row>
    <row r="188" spans="9:9" ht="15.75" customHeight="1">
      <c r="I188" s="31"/>
    </row>
    <row r="189" spans="9:9" ht="15.75" customHeight="1">
      <c r="I189" s="31"/>
    </row>
    <row r="190" spans="9:9" ht="15.75" customHeight="1">
      <c r="I190" s="31"/>
    </row>
    <row r="191" spans="9:9" ht="15.75" customHeight="1">
      <c r="I191" s="31"/>
    </row>
    <row r="192" spans="9:9" ht="15.75" customHeight="1">
      <c r="I192" s="31"/>
    </row>
    <row r="193" spans="9:9" ht="15.75" customHeight="1">
      <c r="I193" s="31"/>
    </row>
    <row r="194" spans="9:9" ht="15.75" customHeight="1">
      <c r="I194" s="31"/>
    </row>
    <row r="195" spans="9:9" ht="15.75" customHeight="1">
      <c r="I195" s="31"/>
    </row>
    <row r="196" spans="9:9" ht="15.75" customHeight="1">
      <c r="I196" s="31"/>
    </row>
    <row r="197" spans="9:9" ht="15.75" customHeight="1">
      <c r="I197" s="31"/>
    </row>
    <row r="198" spans="9:9" ht="15.75" customHeight="1">
      <c r="I198" s="31"/>
    </row>
    <row r="199" spans="9:9" ht="15.75" customHeight="1">
      <c r="I199" s="31"/>
    </row>
    <row r="200" spans="9:9" ht="15.75" customHeight="1">
      <c r="I200" s="31"/>
    </row>
    <row r="201" spans="9:9" ht="15.75" customHeight="1">
      <c r="I201" s="31"/>
    </row>
    <row r="202" spans="9:9" ht="15.75" customHeight="1">
      <c r="I202" s="31"/>
    </row>
    <row r="203" spans="9:9" ht="15.75" customHeight="1">
      <c r="I203" s="31"/>
    </row>
    <row r="204" spans="9:9" ht="15.75" customHeight="1">
      <c r="I204" s="31"/>
    </row>
    <row r="205" spans="9:9" ht="15.75" customHeight="1">
      <c r="I205" s="31"/>
    </row>
    <row r="206" spans="9:9" ht="15.75" customHeight="1">
      <c r="I206" s="31"/>
    </row>
    <row r="207" spans="9:9" ht="15.75" customHeight="1">
      <c r="I207" s="31"/>
    </row>
    <row r="208" spans="9:9" ht="15.75" customHeight="1">
      <c r="I208" s="31"/>
    </row>
    <row r="209" spans="9:9" ht="15.75" customHeight="1">
      <c r="I209" s="31"/>
    </row>
    <row r="210" spans="9:9" ht="15.75" customHeight="1">
      <c r="I210" s="31"/>
    </row>
    <row r="211" spans="9:9" ht="15.75" customHeight="1">
      <c r="I211" s="31"/>
    </row>
    <row r="212" spans="9:9" ht="15.75" customHeight="1">
      <c r="I212" s="31"/>
    </row>
    <row r="213" spans="9:9" ht="15.75" customHeight="1">
      <c r="I213" s="31"/>
    </row>
    <row r="214" spans="9:9" ht="15.75" customHeight="1">
      <c r="I214" s="31"/>
    </row>
    <row r="215" spans="9:9" ht="15.75" customHeight="1">
      <c r="I215" s="31"/>
    </row>
    <row r="216" spans="9:9" ht="15.75" customHeight="1">
      <c r="I216" s="31"/>
    </row>
    <row r="217" spans="9:9" ht="15.75" customHeight="1">
      <c r="I217" s="31"/>
    </row>
    <row r="218" spans="9:9" ht="15.75" customHeight="1">
      <c r="I218" s="31"/>
    </row>
    <row r="219" spans="9:9" ht="15.75" customHeight="1">
      <c r="I219" s="31"/>
    </row>
    <row r="220" spans="9:9" ht="15.75" customHeight="1">
      <c r="I220" s="31"/>
    </row>
    <row r="221" spans="9:9" ht="15.75" customHeight="1">
      <c r="I221" s="31"/>
    </row>
    <row r="222" spans="9:9" ht="15.75" customHeight="1">
      <c r="I222" s="31"/>
    </row>
    <row r="223" spans="9:9" ht="15.75" customHeight="1">
      <c r="I223" s="31"/>
    </row>
    <row r="224" spans="9:9" ht="15.75" customHeight="1">
      <c r="I224" s="31"/>
    </row>
    <row r="225" spans="9:9" ht="15.75" customHeight="1">
      <c r="I225" s="31"/>
    </row>
    <row r="226" spans="9:9" ht="15.75" customHeight="1">
      <c r="I226" s="31"/>
    </row>
    <row r="227" spans="9:9" ht="15.75" customHeight="1">
      <c r="I227" s="31"/>
    </row>
    <row r="228" spans="9:9" ht="15.75" customHeight="1">
      <c r="I228" s="31"/>
    </row>
    <row r="229" spans="9:9" ht="15.75" customHeight="1">
      <c r="I229" s="31"/>
    </row>
    <row r="230" spans="9:9" ht="15.75" customHeight="1">
      <c r="I230" s="31"/>
    </row>
    <row r="231" spans="9:9" ht="15.75" customHeight="1">
      <c r="I231" s="31"/>
    </row>
    <row r="232" spans="9:9" ht="15.75" customHeight="1">
      <c r="I232" s="31"/>
    </row>
    <row r="233" spans="9:9" ht="15.75" customHeight="1"/>
    <row r="234" spans="9:9" ht="15.75" customHeight="1"/>
    <row r="235" spans="9:9" ht="15.75" customHeight="1"/>
    <row r="236" spans="9:9" ht="15.75" customHeight="1"/>
    <row r="237" spans="9:9" ht="15.75" customHeight="1"/>
    <row r="238" spans="9:9" ht="15.75" customHeight="1"/>
    <row r="239" spans="9:9" ht="15.75" customHeight="1"/>
    <row r="240" spans="9: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custom" allowBlank="1" showDropDown="1" sqref="I14:L32" xr:uid="{00000000-0002-0000-0500-000000000000}">
      <formula1>AND(ISNUMBER(I14),(NOT(OR(NOT(ISERROR(DATEVALUE(I14))), AND(ISNUMBER(I14), LEFT(CELL("format", I14))="D")))))</formula1>
    </dataValidation>
  </dataValidations>
  <hyperlinks>
    <hyperlink ref="B2" r:id="rId1" xr:uid="{00000000-0004-0000-0500-000000000000}"/>
  </hyperlinks>
  <pageMargins left="0.7" right="0.7" top="0.75" bottom="0.75" header="0" footer="0"/>
  <pageSetup orientation="landscape"/>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1000"/>
  <sheetViews>
    <sheetView workbookViewId="0"/>
  </sheetViews>
  <sheetFormatPr defaultColWidth="12.5703125" defaultRowHeight="15" customHeight="1"/>
  <cols>
    <col min="1" max="1" width="45.42578125" customWidth="1"/>
    <col min="2" max="2" width="43.7109375" customWidth="1"/>
    <col min="3" max="3" width="38.7109375" customWidth="1"/>
    <col min="4" max="4" width="43.42578125" customWidth="1"/>
    <col min="5" max="5" width="37.5703125" customWidth="1"/>
    <col min="6" max="6" width="29.7109375" customWidth="1"/>
    <col min="7" max="7" width="43.42578125" customWidth="1"/>
    <col min="8" max="8" width="19.7109375" customWidth="1"/>
  </cols>
  <sheetData>
    <row r="1" spans="1:5" ht="15.75" customHeight="1">
      <c r="A1" s="14" t="s">
        <v>334</v>
      </c>
      <c r="B1" s="14"/>
      <c r="C1" s="14"/>
      <c r="D1" s="14"/>
      <c r="E1" s="14"/>
    </row>
    <row r="2" spans="1:5" ht="15.75" customHeight="1">
      <c r="A2" s="144" t="s">
        <v>335</v>
      </c>
      <c r="B2" s="144" t="s">
        <v>336</v>
      </c>
      <c r="C2" s="144" t="s">
        <v>337</v>
      </c>
      <c r="D2" s="144" t="s">
        <v>338</v>
      </c>
      <c r="E2" s="144" t="s">
        <v>339</v>
      </c>
    </row>
    <row r="3" spans="1:5" ht="15.75" customHeight="1">
      <c r="A3" s="7" t="s">
        <v>340</v>
      </c>
      <c r="B3" s="145">
        <v>162</v>
      </c>
      <c r="C3" s="145">
        <v>41</v>
      </c>
      <c r="D3" s="145">
        <v>2</v>
      </c>
      <c r="E3" s="7">
        <f t="shared" ref="E3:E13" si="0">SUM(B3:D3)</f>
        <v>205</v>
      </c>
    </row>
    <row r="4" spans="1:5" ht="15.75" customHeight="1">
      <c r="A4" s="7" t="s">
        <v>341</v>
      </c>
      <c r="B4" s="145">
        <v>939</v>
      </c>
      <c r="C4" s="145">
        <v>331</v>
      </c>
      <c r="D4" s="145">
        <v>9</v>
      </c>
      <c r="E4" s="7">
        <f t="shared" si="0"/>
        <v>1279</v>
      </c>
    </row>
    <row r="5" spans="1:5" ht="15.75" customHeight="1">
      <c r="A5" s="7" t="s">
        <v>342</v>
      </c>
      <c r="B5" s="146">
        <v>9771</v>
      </c>
      <c r="C5" s="146">
        <v>1777</v>
      </c>
      <c r="D5" s="145">
        <v>1</v>
      </c>
      <c r="E5" s="10">
        <f t="shared" si="0"/>
        <v>11549</v>
      </c>
    </row>
    <row r="6" spans="1:5" ht="15.75" customHeight="1">
      <c r="A6" s="147" t="s">
        <v>343</v>
      </c>
      <c r="B6" s="148">
        <v>15850</v>
      </c>
      <c r="C6" s="148">
        <v>1283</v>
      </c>
      <c r="D6" s="149">
        <v>45</v>
      </c>
      <c r="E6" s="150">
        <f t="shared" si="0"/>
        <v>17178</v>
      </c>
    </row>
    <row r="7" spans="1:5" ht="15.75" customHeight="1">
      <c r="A7" s="7" t="s">
        <v>344</v>
      </c>
      <c r="B7" s="146">
        <v>1249</v>
      </c>
      <c r="C7" s="145">
        <v>311</v>
      </c>
      <c r="D7" s="145">
        <v>2</v>
      </c>
      <c r="E7" s="10">
        <f t="shared" si="0"/>
        <v>1562</v>
      </c>
    </row>
    <row r="8" spans="1:5" ht="15.75" customHeight="1">
      <c r="A8" s="7" t="s">
        <v>345</v>
      </c>
      <c r="B8" s="146">
        <v>1119</v>
      </c>
      <c r="C8" s="145">
        <v>311</v>
      </c>
      <c r="D8" s="145">
        <v>1</v>
      </c>
      <c r="E8" s="10">
        <f t="shared" si="0"/>
        <v>1431</v>
      </c>
    </row>
    <row r="9" spans="1:5" ht="15.75" customHeight="1">
      <c r="A9" s="7" t="s">
        <v>346</v>
      </c>
      <c r="B9" s="146">
        <v>4718</v>
      </c>
      <c r="C9" s="145">
        <v>702</v>
      </c>
      <c r="D9" s="145">
        <v>32</v>
      </c>
      <c r="E9" s="10">
        <f t="shared" si="0"/>
        <v>5452</v>
      </c>
    </row>
    <row r="10" spans="1:5" ht="15.75" customHeight="1">
      <c r="A10" s="7" t="s">
        <v>347</v>
      </c>
      <c r="B10" s="146">
        <v>6914</v>
      </c>
      <c r="C10" s="145">
        <v>692</v>
      </c>
      <c r="D10" s="145">
        <v>9</v>
      </c>
      <c r="E10" s="10">
        <f t="shared" si="0"/>
        <v>7615</v>
      </c>
    </row>
    <row r="11" spans="1:5" ht="15.75" customHeight="1">
      <c r="A11" s="7" t="s">
        <v>348</v>
      </c>
      <c r="B11" s="145">
        <v>64</v>
      </c>
      <c r="C11" s="145">
        <v>11</v>
      </c>
      <c r="D11" s="145">
        <v>0</v>
      </c>
      <c r="E11" s="7">
        <f t="shared" si="0"/>
        <v>75</v>
      </c>
    </row>
    <row r="12" spans="1:5" ht="15.75" customHeight="1">
      <c r="A12" s="7" t="s">
        <v>349</v>
      </c>
      <c r="B12" s="145">
        <v>32</v>
      </c>
      <c r="C12" s="145">
        <v>14</v>
      </c>
      <c r="D12" s="145">
        <v>0</v>
      </c>
      <c r="E12" s="7">
        <f t="shared" si="0"/>
        <v>46</v>
      </c>
    </row>
    <row r="13" spans="1:5" ht="15.75" customHeight="1">
      <c r="A13" s="7" t="s">
        <v>350</v>
      </c>
      <c r="B13" s="145">
        <v>0</v>
      </c>
      <c r="C13" s="145">
        <v>25</v>
      </c>
      <c r="D13" s="145">
        <v>0</v>
      </c>
      <c r="E13" s="7">
        <f t="shared" si="0"/>
        <v>25</v>
      </c>
    </row>
    <row r="14" spans="1:5" ht="15.75" customHeight="1">
      <c r="A14" s="6" t="s">
        <v>351</v>
      </c>
      <c r="B14" s="6">
        <f t="shared" ref="B14:E14" si="1">SUM(B2:B13)</f>
        <v>40818</v>
      </c>
      <c r="C14" s="6">
        <f t="shared" si="1"/>
        <v>5498</v>
      </c>
      <c r="D14" s="6">
        <f t="shared" si="1"/>
        <v>101</v>
      </c>
      <c r="E14" s="6">
        <f t="shared" si="1"/>
        <v>46417</v>
      </c>
    </row>
    <row r="15" spans="1:5" ht="15.75" customHeight="1">
      <c r="A15" s="28" t="s">
        <v>352</v>
      </c>
    </row>
    <row r="16" spans="1:5" ht="15.75" customHeight="1">
      <c r="A16" s="4"/>
      <c r="B16" s="3"/>
      <c r="C16" s="4"/>
      <c r="D16" s="4"/>
    </row>
    <row r="17" spans="1:4" ht="15.75" customHeight="1">
      <c r="A17" s="4" t="s">
        <v>353</v>
      </c>
      <c r="B17" s="3"/>
      <c r="C17" s="4"/>
      <c r="D17" s="4"/>
    </row>
    <row r="18" spans="1:4" ht="15.75" customHeight="1">
      <c r="A18" s="144" t="s">
        <v>335</v>
      </c>
      <c r="B18" s="151" t="s">
        <v>354</v>
      </c>
    </row>
    <row r="19" spans="1:4" ht="15.75" customHeight="1">
      <c r="A19" s="152" t="s">
        <v>355</v>
      </c>
      <c r="B19" s="146">
        <v>1250</v>
      </c>
    </row>
    <row r="20" spans="1:4" ht="15.75" customHeight="1">
      <c r="A20" s="152" t="s">
        <v>356</v>
      </c>
      <c r="B20" s="145">
        <v>550</v>
      </c>
    </row>
    <row r="21" spans="1:4" ht="15.75" customHeight="1">
      <c r="A21" s="152" t="s">
        <v>357</v>
      </c>
      <c r="B21" s="146">
        <v>2050</v>
      </c>
    </row>
    <row r="22" spans="1:4" ht="15.75" customHeight="1">
      <c r="A22" s="152" t="s">
        <v>358</v>
      </c>
      <c r="B22" s="146">
        <v>1600</v>
      </c>
    </row>
    <row r="23" spans="1:4" ht="15.75" customHeight="1">
      <c r="A23" s="153" t="s">
        <v>82</v>
      </c>
      <c r="B23" s="148">
        <v>13300</v>
      </c>
    </row>
    <row r="24" spans="1:4" ht="15.75" customHeight="1">
      <c r="A24" s="152" t="s">
        <v>359</v>
      </c>
      <c r="B24" s="146">
        <v>2700</v>
      </c>
    </row>
    <row r="25" spans="1:4" ht="15.75" customHeight="1">
      <c r="A25" s="152" t="s">
        <v>360</v>
      </c>
      <c r="B25" s="146">
        <v>1950</v>
      </c>
    </row>
    <row r="26" spans="1:4" ht="15.75" customHeight="1">
      <c r="A26" s="152" t="s">
        <v>361</v>
      </c>
      <c r="B26" s="146">
        <v>5300</v>
      </c>
    </row>
    <row r="27" spans="1:4" ht="15.75" customHeight="1">
      <c r="A27" s="152" t="s">
        <v>362</v>
      </c>
      <c r="B27" s="146">
        <v>6500</v>
      </c>
    </row>
    <row r="28" spans="1:4" ht="15.75" customHeight="1">
      <c r="A28" s="152" t="s">
        <v>363</v>
      </c>
      <c r="B28" s="145">
        <v>650</v>
      </c>
    </row>
    <row r="29" spans="1:4" ht="15.75" customHeight="1">
      <c r="A29" s="152" t="s">
        <v>364</v>
      </c>
      <c r="B29" s="145">
        <v>400</v>
      </c>
    </row>
    <row r="30" spans="1:4" ht="15.75" customHeight="1">
      <c r="A30" s="154" t="s">
        <v>365</v>
      </c>
      <c r="B30" s="145">
        <v>200</v>
      </c>
    </row>
    <row r="31" spans="1:4" ht="15.75" customHeight="1">
      <c r="A31" s="152" t="s">
        <v>351</v>
      </c>
      <c r="B31" s="146">
        <v>43400</v>
      </c>
      <c r="C31" s="4"/>
      <c r="D31" s="4"/>
    </row>
    <row r="32" spans="1:4" ht="15.75" customHeight="1">
      <c r="A32" s="28" t="s">
        <v>366</v>
      </c>
      <c r="B32" s="3"/>
      <c r="C32" s="4"/>
      <c r="D32" s="4"/>
    </row>
    <row r="33" spans="1:8" ht="15.75" customHeight="1">
      <c r="A33" s="4"/>
      <c r="B33" s="3"/>
      <c r="C33" s="4"/>
      <c r="D33" s="4"/>
    </row>
    <row r="34" spans="1:8" ht="15.75" customHeight="1">
      <c r="A34" s="14" t="s">
        <v>367</v>
      </c>
      <c r="B34" s="3"/>
      <c r="C34" s="4"/>
      <c r="D34" s="4"/>
      <c r="E34" s="4"/>
    </row>
    <row r="35" spans="1:8" ht="15.75" customHeight="1">
      <c r="A35" s="4" t="s">
        <v>368</v>
      </c>
      <c r="B35" s="3">
        <v>3</v>
      </c>
      <c r="C35" s="4"/>
      <c r="D35" s="4"/>
      <c r="E35" s="4"/>
    </row>
    <row r="36" spans="1:8" ht="15.75" customHeight="1">
      <c r="A36" s="4" t="s">
        <v>369</v>
      </c>
      <c r="B36" s="3">
        <v>3600</v>
      </c>
      <c r="C36" s="4"/>
      <c r="D36" s="4"/>
      <c r="E36" s="4"/>
    </row>
    <row r="37" spans="1:8" ht="15.75" customHeight="1">
      <c r="A37" s="4"/>
      <c r="B37" s="3"/>
      <c r="C37" s="4"/>
      <c r="D37" s="4"/>
      <c r="E37" s="4"/>
    </row>
    <row r="38" spans="1:8" ht="15.75" customHeight="1">
      <c r="A38" s="7"/>
      <c r="B38" s="20"/>
      <c r="C38" s="220" t="s">
        <v>370</v>
      </c>
      <c r="D38" s="221"/>
      <c r="E38" s="222"/>
      <c r="F38" s="223" t="s">
        <v>371</v>
      </c>
      <c r="G38" s="221"/>
      <c r="H38" s="222"/>
    </row>
    <row r="39" spans="1:8" ht="15.75" customHeight="1">
      <c r="A39" s="7" t="s">
        <v>372</v>
      </c>
      <c r="B39" s="20" t="s">
        <v>373</v>
      </c>
      <c r="C39" s="7" t="s">
        <v>374</v>
      </c>
      <c r="D39" s="147" t="s">
        <v>375</v>
      </c>
      <c r="E39" s="7" t="s">
        <v>376</v>
      </c>
      <c r="F39" s="7" t="s">
        <v>374</v>
      </c>
      <c r="G39" s="147" t="s">
        <v>375</v>
      </c>
      <c r="H39" s="7" t="s">
        <v>376</v>
      </c>
    </row>
    <row r="40" spans="1:8" ht="15.75" customHeight="1">
      <c r="A40" s="8" t="s">
        <v>377</v>
      </c>
      <c r="B40" s="7">
        <v>32.94</v>
      </c>
      <c r="C40" s="155">
        <f t="shared" ref="C40:C58" si="2">B40/$B$35*$E$6</f>
        <v>188614.43999999997</v>
      </c>
      <c r="D40" s="156">
        <f t="shared" ref="D40:D58" si="3">B40/$B$36*$B$23</f>
        <v>121.69500000000001</v>
      </c>
      <c r="E40" s="7"/>
      <c r="F40" s="155">
        <f t="shared" ref="F40:F58" si="4">B40/$B$35*$E$14</f>
        <v>509658.65999999992</v>
      </c>
      <c r="G40" s="156">
        <f t="shared" ref="G40:G58" si="5">B40/$B$36*$B$31</f>
        <v>397.11</v>
      </c>
      <c r="H40" s="7"/>
    </row>
    <row r="41" spans="1:8" ht="15.75" customHeight="1">
      <c r="A41" s="8" t="s">
        <v>378</v>
      </c>
      <c r="B41" s="7">
        <v>16.73</v>
      </c>
      <c r="C41" s="155">
        <f t="shared" si="2"/>
        <v>95795.98000000001</v>
      </c>
      <c r="D41" s="156">
        <f t="shared" si="3"/>
        <v>61.808055555555562</v>
      </c>
      <c r="E41" s="7"/>
      <c r="F41" s="155">
        <f t="shared" si="4"/>
        <v>258852.13666666669</v>
      </c>
      <c r="G41" s="156">
        <f t="shared" si="5"/>
        <v>201.68944444444446</v>
      </c>
      <c r="H41" s="7"/>
    </row>
    <row r="42" spans="1:8" ht="15.75" customHeight="1">
      <c r="A42" s="157" t="s">
        <v>379</v>
      </c>
      <c r="B42" s="7">
        <v>12.48</v>
      </c>
      <c r="C42" s="155">
        <f t="shared" si="2"/>
        <v>71460.479999999996</v>
      </c>
      <c r="D42" s="156">
        <f t="shared" si="3"/>
        <v>46.106666666666669</v>
      </c>
      <c r="E42" s="7"/>
      <c r="F42" s="155">
        <f t="shared" si="4"/>
        <v>193094.72</v>
      </c>
      <c r="G42" s="156">
        <f t="shared" si="5"/>
        <v>150.45333333333335</v>
      </c>
      <c r="H42" s="7"/>
    </row>
    <row r="43" spans="1:8" ht="15.75" customHeight="1">
      <c r="A43" s="157" t="s">
        <v>380</v>
      </c>
      <c r="B43" s="7">
        <v>4.9000000000000004</v>
      </c>
      <c r="C43" s="155">
        <f t="shared" si="2"/>
        <v>28057.400000000005</v>
      </c>
      <c r="D43" s="156">
        <f t="shared" si="3"/>
        <v>18.102777777777778</v>
      </c>
      <c r="E43" s="7"/>
      <c r="F43" s="155">
        <f t="shared" si="4"/>
        <v>75814.433333333349</v>
      </c>
      <c r="G43" s="156">
        <f t="shared" si="5"/>
        <v>59.072222222222223</v>
      </c>
      <c r="H43" s="7"/>
    </row>
    <row r="44" spans="1:8" ht="15.75" customHeight="1">
      <c r="A44" s="8" t="s">
        <v>381</v>
      </c>
      <c r="B44" s="7">
        <v>3.87</v>
      </c>
      <c r="C44" s="155">
        <f t="shared" si="2"/>
        <v>22159.62</v>
      </c>
      <c r="D44" s="156">
        <f t="shared" si="3"/>
        <v>14.297499999999999</v>
      </c>
      <c r="E44" s="7"/>
      <c r="F44" s="155">
        <f t="shared" si="4"/>
        <v>59877.93</v>
      </c>
      <c r="G44" s="156">
        <f t="shared" si="5"/>
        <v>46.655000000000001</v>
      </c>
      <c r="H44" s="7"/>
    </row>
    <row r="45" spans="1:8" ht="15.75" customHeight="1">
      <c r="A45" s="157" t="s">
        <v>382</v>
      </c>
      <c r="B45" s="7">
        <v>3.5</v>
      </c>
      <c r="C45" s="155">
        <f t="shared" si="2"/>
        <v>20041</v>
      </c>
      <c r="D45" s="156">
        <f t="shared" si="3"/>
        <v>12.930555555555555</v>
      </c>
      <c r="E45" s="7"/>
      <c r="F45" s="155">
        <f t="shared" si="4"/>
        <v>54153.166666666672</v>
      </c>
      <c r="G45" s="156">
        <f t="shared" si="5"/>
        <v>42.194444444444443</v>
      </c>
      <c r="H45" s="7"/>
    </row>
    <row r="46" spans="1:8" ht="15.75" customHeight="1">
      <c r="A46" s="8" t="s">
        <v>383</v>
      </c>
      <c r="B46" s="7">
        <v>2.4</v>
      </c>
      <c r="C46" s="155">
        <f t="shared" si="2"/>
        <v>13742.4</v>
      </c>
      <c r="D46" s="156">
        <f t="shared" si="3"/>
        <v>8.8666666666666671</v>
      </c>
      <c r="E46" s="7"/>
      <c r="F46" s="155">
        <f t="shared" si="4"/>
        <v>37133.599999999999</v>
      </c>
      <c r="G46" s="156">
        <f t="shared" si="5"/>
        <v>28.933333333333334</v>
      </c>
      <c r="H46" s="7"/>
    </row>
    <row r="47" spans="1:8" ht="15.75" customHeight="1">
      <c r="A47" s="8" t="s">
        <v>384</v>
      </c>
      <c r="B47" s="7">
        <v>1.83</v>
      </c>
      <c r="C47" s="155">
        <f t="shared" si="2"/>
        <v>10478.58</v>
      </c>
      <c r="D47" s="156">
        <f t="shared" si="3"/>
        <v>6.7608333333333341</v>
      </c>
      <c r="E47" s="7"/>
      <c r="F47" s="155">
        <f t="shared" si="4"/>
        <v>28314.37</v>
      </c>
      <c r="G47" s="156">
        <f t="shared" si="5"/>
        <v>22.061666666666671</v>
      </c>
      <c r="H47" s="7"/>
    </row>
    <row r="48" spans="1:8" ht="15.75" customHeight="1">
      <c r="A48" s="8" t="s">
        <v>385</v>
      </c>
      <c r="B48" s="7">
        <v>1.8</v>
      </c>
      <c r="C48" s="155">
        <f t="shared" si="2"/>
        <v>10306.799999999999</v>
      </c>
      <c r="D48" s="156">
        <f t="shared" si="3"/>
        <v>6.65</v>
      </c>
      <c r="E48" s="7"/>
      <c r="F48" s="155">
        <f t="shared" si="4"/>
        <v>27850.2</v>
      </c>
      <c r="G48" s="156">
        <f t="shared" si="5"/>
        <v>21.7</v>
      </c>
      <c r="H48" s="7"/>
    </row>
    <row r="49" spans="1:8" ht="15.75" customHeight="1">
      <c r="A49" s="8" t="s">
        <v>386</v>
      </c>
      <c r="B49" s="7">
        <v>1.54</v>
      </c>
      <c r="C49" s="155">
        <f t="shared" si="2"/>
        <v>8818.0399999999991</v>
      </c>
      <c r="D49" s="156">
        <f t="shared" si="3"/>
        <v>5.6894444444444447</v>
      </c>
      <c r="E49" s="7"/>
      <c r="F49" s="155">
        <f t="shared" si="4"/>
        <v>23827.393333333333</v>
      </c>
      <c r="G49" s="156">
        <f t="shared" si="5"/>
        <v>18.565555555555555</v>
      </c>
      <c r="H49" s="7"/>
    </row>
    <row r="50" spans="1:8" ht="15.75" customHeight="1">
      <c r="A50" s="7" t="s">
        <v>387</v>
      </c>
      <c r="B50" s="7">
        <v>1.32</v>
      </c>
      <c r="C50" s="155">
        <f t="shared" si="2"/>
        <v>7558.32</v>
      </c>
      <c r="D50" s="156">
        <f t="shared" si="3"/>
        <v>4.8766666666666669</v>
      </c>
      <c r="E50" s="7"/>
      <c r="F50" s="155">
        <f t="shared" si="4"/>
        <v>20423.48</v>
      </c>
      <c r="G50" s="156">
        <f t="shared" si="5"/>
        <v>15.913333333333334</v>
      </c>
      <c r="H50" s="7"/>
    </row>
    <row r="51" spans="1:8" ht="15.75" customHeight="1">
      <c r="A51" s="8" t="s">
        <v>388</v>
      </c>
      <c r="B51" s="7">
        <v>1.3</v>
      </c>
      <c r="C51" s="155">
        <f t="shared" si="2"/>
        <v>7443.8</v>
      </c>
      <c r="D51" s="156">
        <f t="shared" si="3"/>
        <v>4.802777777777778</v>
      </c>
      <c r="E51" s="7"/>
      <c r="F51" s="155">
        <f t="shared" si="4"/>
        <v>20114.033333333333</v>
      </c>
      <c r="G51" s="156">
        <f t="shared" si="5"/>
        <v>15.672222222222224</v>
      </c>
      <c r="H51" s="7"/>
    </row>
    <row r="52" spans="1:8" ht="15.75" customHeight="1">
      <c r="A52" s="8" t="s">
        <v>389</v>
      </c>
      <c r="B52" s="7">
        <v>1.07</v>
      </c>
      <c r="C52" s="155">
        <f t="shared" si="2"/>
        <v>6126.8200000000006</v>
      </c>
      <c r="D52" s="156">
        <f t="shared" si="3"/>
        <v>3.9530555555555553</v>
      </c>
      <c r="E52" s="7"/>
      <c r="F52" s="155">
        <f t="shared" si="4"/>
        <v>16555.396666666667</v>
      </c>
      <c r="G52" s="156">
        <f t="shared" si="5"/>
        <v>12.899444444444445</v>
      </c>
      <c r="H52" s="7"/>
    </row>
    <row r="53" spans="1:8" ht="15.75" customHeight="1">
      <c r="A53" s="8" t="s">
        <v>390</v>
      </c>
      <c r="B53" s="7">
        <v>0.36</v>
      </c>
      <c r="C53" s="155">
        <f t="shared" si="2"/>
        <v>2061.36</v>
      </c>
      <c r="D53" s="156">
        <f t="shared" si="3"/>
        <v>1.3299999999999998</v>
      </c>
      <c r="E53" s="7"/>
      <c r="F53" s="155">
        <f t="shared" si="4"/>
        <v>5570.04</v>
      </c>
      <c r="G53" s="156">
        <f t="shared" si="5"/>
        <v>4.34</v>
      </c>
      <c r="H53" s="7"/>
    </row>
    <row r="54" spans="1:8" ht="15.75" customHeight="1">
      <c r="A54" s="8" t="s">
        <v>391</v>
      </c>
      <c r="B54" s="7">
        <v>0.28000000000000003</v>
      </c>
      <c r="C54" s="155">
        <f t="shared" si="2"/>
        <v>1603.28</v>
      </c>
      <c r="D54" s="156">
        <f t="shared" si="3"/>
        <v>1.0344444444444445</v>
      </c>
      <c r="E54" s="7"/>
      <c r="F54" s="155">
        <f t="shared" si="4"/>
        <v>4332.2533333333331</v>
      </c>
      <c r="G54" s="156">
        <f t="shared" si="5"/>
        <v>3.3755555555555556</v>
      </c>
      <c r="H54" s="7"/>
    </row>
    <row r="55" spans="1:8" ht="15.75" customHeight="1">
      <c r="A55" s="8" t="s">
        <v>392</v>
      </c>
      <c r="B55" s="7">
        <v>0.22</v>
      </c>
      <c r="C55" s="155">
        <f t="shared" si="2"/>
        <v>1259.72</v>
      </c>
      <c r="D55" s="156">
        <f t="shared" si="3"/>
        <v>0.81277777777777771</v>
      </c>
      <c r="E55" s="7"/>
      <c r="F55" s="155">
        <f t="shared" si="4"/>
        <v>3403.9133333333334</v>
      </c>
      <c r="G55" s="156">
        <f t="shared" si="5"/>
        <v>2.652222222222222</v>
      </c>
      <c r="H55" s="7"/>
    </row>
    <row r="56" spans="1:8" ht="15.75" customHeight="1">
      <c r="A56" s="8" t="s">
        <v>393</v>
      </c>
      <c r="B56" s="7">
        <v>0.09</v>
      </c>
      <c r="C56" s="155">
        <f t="shared" si="2"/>
        <v>515.34</v>
      </c>
      <c r="D56" s="156">
        <f t="shared" si="3"/>
        <v>0.33249999999999996</v>
      </c>
      <c r="E56" s="7"/>
      <c r="F56" s="155">
        <f t="shared" si="4"/>
        <v>1392.51</v>
      </c>
      <c r="G56" s="156">
        <f t="shared" si="5"/>
        <v>1.085</v>
      </c>
      <c r="H56" s="7"/>
    </row>
    <row r="57" spans="1:8" ht="15.75" customHeight="1">
      <c r="A57" s="8" t="s">
        <v>394</v>
      </c>
      <c r="B57" s="7">
        <v>0.06</v>
      </c>
      <c r="C57" s="155">
        <f t="shared" si="2"/>
        <v>343.56</v>
      </c>
      <c r="D57" s="156">
        <f t="shared" si="3"/>
        <v>0.22166666666666668</v>
      </c>
      <c r="E57" s="7"/>
      <c r="F57" s="155">
        <f t="shared" si="4"/>
        <v>928.34</v>
      </c>
      <c r="G57" s="156">
        <f t="shared" si="5"/>
        <v>0.72333333333333338</v>
      </c>
      <c r="H57" s="7"/>
    </row>
    <row r="58" spans="1:8" ht="15.75" customHeight="1">
      <c r="A58" s="8" t="s">
        <v>395</v>
      </c>
      <c r="B58" s="7">
        <v>0.02</v>
      </c>
      <c r="C58" s="155">
        <f t="shared" si="2"/>
        <v>114.52000000000001</v>
      </c>
      <c r="D58" s="156">
        <f t="shared" si="3"/>
        <v>7.3888888888888893E-2</v>
      </c>
      <c r="E58" s="7"/>
      <c r="F58" s="155">
        <f t="shared" si="4"/>
        <v>309.44666666666666</v>
      </c>
      <c r="G58" s="156">
        <f t="shared" si="5"/>
        <v>0.24111111111111111</v>
      </c>
      <c r="H58" s="7"/>
    </row>
    <row r="59" spans="1:8" ht="15.75" customHeight="1"/>
    <row r="60" spans="1:8" ht="15.75" customHeight="1"/>
    <row r="61" spans="1:8" ht="15.75" customHeight="1"/>
    <row r="62" spans="1:8" ht="15.75" customHeight="1"/>
    <row r="63" spans="1:8" ht="15.75" customHeight="1"/>
    <row r="64" spans="1: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38:E38"/>
    <mergeCell ref="F38:H38"/>
  </mergeCells>
  <hyperlinks>
    <hyperlink ref="A15" r:id="rId1" xr:uid="{00000000-0004-0000-0600-000000000000}"/>
    <hyperlink ref="A32" r:id="rId2" xr:uid="{00000000-0004-0000-06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Calculations</vt:lpstr>
      <vt:lpstr>Cautery Cords</vt:lpstr>
      <vt:lpstr>N2O</vt:lpstr>
      <vt:lpstr>IV to Oral</vt:lpstr>
      <vt:lpstr>Bottled Strerile Water</vt:lpstr>
      <vt:lpstr>Methodology - Scaling PEACH Hos</vt:lpstr>
      <vt:lpstr>Methodology - Scaling PEACH Pri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Weijia Shi</cp:lastModifiedBy>
  <dcterms:modified xsi:type="dcterms:W3CDTF">2026-06-11T20:09:52Z</dcterms:modified>
</cp:coreProperties>
</file>