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.shortcut-targets-by-id\1IrBZKS_xtnd0FCI-6M3pM48JI0mhO0WP\Decarbonization in Action Project Management\GTHA 2025-2026\Partner Deliverables\Public Versions\"/>
    </mc:Choice>
  </mc:AlternateContent>
  <xr:revisionPtr revIDLastSave="0" documentId="13_ncr:1_{8D5315E2-0750-482A-96A3-E10A003E5BBA}" xr6:coauthVersionLast="47" xr6:coauthVersionMax="47" xr10:uidLastSave="{00000000-0000-0000-0000-000000000000}"/>
  <bookViews>
    <workbookView xWindow="-120" yWindow="-120" windowWidth="29040" windowHeight="15720" xr2:uid="{EA32F0D7-8E6C-4BDF-9BAE-209EF830E512}"/>
  </bookViews>
  <sheets>
    <sheet name="Introduction" sheetId="3" r:id="rId1"/>
    <sheet name="Calculations" sheetId="1" r:id="rId2"/>
    <sheet name="Green Hospiatl Scorecard Data" sheetId="2" r:id="rId3"/>
  </sheets>
  <definedNames>
    <definedName name="_xlnm._FilterDatabase" localSheetId="2" hidden="1">'Green Hospiatl Scorecard Data'!$B$29:$F$84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4" i="2" l="1"/>
  <c r="B12" i="1" l="1"/>
  <c r="B24" i="1" s="1"/>
  <c r="B35" i="1"/>
  <c r="B10" i="1"/>
  <c r="C16" i="1" s="1"/>
  <c r="B8" i="1"/>
  <c r="F81" i="2"/>
  <c r="F82" i="2"/>
  <c r="F83" i="2"/>
  <c r="F84" i="2"/>
  <c r="G84" i="2" s="1"/>
  <c r="F80" i="2"/>
  <c r="F76" i="2"/>
  <c r="F77" i="2"/>
  <c r="F78" i="2"/>
  <c r="F79" i="2"/>
  <c r="G79" i="2" s="1"/>
  <c r="F75" i="2"/>
  <c r="F71" i="2"/>
  <c r="F72" i="2"/>
  <c r="F73" i="2"/>
  <c r="F74" i="2"/>
  <c r="G74" i="2" s="1"/>
  <c r="F70" i="2"/>
  <c r="F66" i="2"/>
  <c r="F67" i="2"/>
  <c r="F68" i="2"/>
  <c r="F69" i="2"/>
  <c r="G69" i="2" s="1"/>
  <c r="F65" i="2"/>
  <c r="F64" i="2"/>
  <c r="G64" i="2" s="1"/>
  <c r="F61" i="2"/>
  <c r="F62" i="2"/>
  <c r="F63" i="2"/>
  <c r="F60" i="2"/>
  <c r="F56" i="2"/>
  <c r="F57" i="2"/>
  <c r="F58" i="2"/>
  <c r="F59" i="2"/>
  <c r="G59" i="2" s="1"/>
  <c r="F55" i="2"/>
  <c r="F51" i="2"/>
  <c r="F52" i="2"/>
  <c r="F53" i="2"/>
  <c r="F54" i="2"/>
  <c r="G54" i="2" s="1"/>
  <c r="F50" i="2"/>
  <c r="F49" i="2"/>
  <c r="G49" i="2" s="1"/>
  <c r="F46" i="2"/>
  <c r="F47" i="2"/>
  <c r="F48" i="2"/>
  <c r="F45" i="2"/>
  <c r="F41" i="2"/>
  <c r="F42" i="2"/>
  <c r="F43" i="2"/>
  <c r="F44" i="2"/>
  <c r="G44" i="2" s="1"/>
  <c r="F40" i="2"/>
  <c r="F36" i="2"/>
  <c r="F37" i="2"/>
  <c r="F38" i="2"/>
  <c r="F39" i="2"/>
  <c r="G39" i="2" s="1"/>
  <c r="F35" i="2"/>
  <c r="F34" i="2"/>
  <c r="G34" i="2" s="1"/>
  <c r="F31" i="2"/>
  <c r="F32" i="2"/>
  <c r="F33" i="2"/>
  <c r="F30" i="2"/>
  <c r="B15" i="1" l="1"/>
  <c r="C15" i="1"/>
  <c r="B16" i="1"/>
  <c r="B5" i="2"/>
  <c r="B6" i="2"/>
  <c r="C17" i="1" l="1"/>
  <c r="B17" i="1"/>
  <c r="B20" i="1" l="1"/>
  <c r="B21" i="1" s="1"/>
</calcChain>
</file>

<file path=xl/sharedStrings.xml><?xml version="1.0" encoding="utf-8"?>
<sst xmlns="http://schemas.openxmlformats.org/spreadsheetml/2006/main" count="165" uniqueCount="107">
  <si>
    <t>Green Hospital Scorecard 2021</t>
  </si>
  <si>
    <t>Waste Type</t>
  </si>
  <si>
    <t>Total waste / material generated (MT)</t>
  </si>
  <si>
    <t>Average % of total waste</t>
  </si>
  <si>
    <t>General / Non-Hazardous</t>
  </si>
  <si>
    <t>Biomedical</t>
  </si>
  <si>
    <t>Blue bin</t>
  </si>
  <si>
    <t>Green bin</t>
  </si>
  <si>
    <t>Cardboard</t>
  </si>
  <si>
    <t>Shredded paper</t>
  </si>
  <si>
    <t>E-Waste</t>
  </si>
  <si>
    <t>Lights</t>
  </si>
  <si>
    <t>Scrap metal</t>
  </si>
  <si>
    <t>Scrap wood</t>
  </si>
  <si>
    <t>Pallets</t>
  </si>
  <si>
    <t>Toner</t>
  </si>
  <si>
    <t>Batteries</t>
  </si>
  <si>
    <t>Other</t>
  </si>
  <si>
    <t>Total Waste Generated</t>
  </si>
  <si>
    <t>Source: Green Hospital Scorecard (2021), Table 7.1</t>
  </si>
  <si>
    <t>Source: Green Hospital Scorecard (2021), Figure 4.1</t>
  </si>
  <si>
    <t>Number of beds</t>
  </si>
  <si>
    <t>Year</t>
  </si>
  <si>
    <t>Number of responses</t>
  </si>
  <si>
    <t>1–99</t>
  </si>
  <si>
    <t>100–199</t>
  </si>
  <si>
    <t>200–299</t>
  </si>
  <si>
    <t>300–399</t>
  </si>
  <si>
    <t>400–499</t>
  </si>
  <si>
    <t>500–599</t>
  </si>
  <si>
    <t>600–699</t>
  </si>
  <si>
    <t>700–799</t>
  </si>
  <si>
    <t>800–899</t>
  </si>
  <si>
    <t>900–999</t>
  </si>
  <si>
    <t>1000–1099</t>
  </si>
  <si>
    <t>Total quantity of biomedical waste reported</t>
  </si>
  <si>
    <t>Value</t>
  </si>
  <si>
    <t>Unit</t>
  </si>
  <si>
    <t>metric tonnes</t>
  </si>
  <si>
    <t>Waste quantity and type</t>
  </si>
  <si>
    <t>Average beds by category</t>
  </si>
  <si>
    <t>metric tonnes/bed</t>
  </si>
  <si>
    <t>Number of inpatient days</t>
  </si>
  <si>
    <t>Source: Green Hospital Scorecard (2021), Figure 4.2</t>
  </si>
  <si>
    <t>Estimated beds by size category</t>
  </si>
  <si>
    <t>metric tonnes/inpatient day</t>
  </si>
  <si>
    <t>Reference</t>
  </si>
  <si>
    <t>Emission factor</t>
  </si>
  <si>
    <t>kg CO₂e / tonne</t>
  </si>
  <si>
    <t>Notes/Assumptions</t>
  </si>
  <si>
    <t>kg per month</t>
  </si>
  <si>
    <t>Figures are based on U.S. waste management practices</t>
  </si>
  <si>
    <t>Average estimate</t>
  </si>
  <si>
    <t>tonnes per year</t>
  </si>
  <si>
    <t>Equivalent car journeys (km)</t>
  </si>
  <si>
    <t>GHS Average quantity of biomedical waste per bed</t>
  </si>
  <si>
    <t>GHS Average quantity of biomedical waste per inpatient day</t>
  </si>
  <si>
    <t>Average annual GHG savings 
(metric tonne CO2e/year)</t>
  </si>
  <si>
    <t>Emission Factors for Water Supply (Autoclaving)</t>
  </si>
  <si>
    <t>Quantity of water saved from autoclaving</t>
  </si>
  <si>
    <t>L</t>
  </si>
  <si>
    <t>Summary GHG factor: sterile water production</t>
  </si>
  <si>
    <t>kgCO2e/m3 of treated water</t>
  </si>
  <si>
    <t>N/A</t>
  </si>
  <si>
    <t>Distillation energy intensity</t>
  </si>
  <si>
    <t>kWh/m3</t>
  </si>
  <si>
    <t>Distillation GHG intensity</t>
  </si>
  <si>
    <t>Derived using GTHA grid electricity GHG intensity</t>
  </si>
  <si>
    <t>Reverse Osmosis GHG intensity</t>
  </si>
  <si>
    <t>https://onlinelibrary.wiley.com/doi/10.1002/cite.202300152?utm_medium=article&amp;utm_source=researchgate.net</t>
  </si>
  <si>
    <t>Prof. Dr.-Ing. Frank Rögener. Increasing the Sustainability of Pharmaceutical Grade Water Production . Chemie Ingenieur Technik. 2024;96(4): 522-527.   https://doi.org/10.1002/cite.202300152</t>
  </si>
  <si>
    <t>Use the average value of two common processes (distillation and reverse osmosis) for generating purified water for autoclaving</t>
  </si>
  <si>
    <t>GTHA grid electricity GHG intensity</t>
  </si>
  <si>
    <t>kgCO2e/kWh</t>
  </si>
  <si>
    <t>2024 value for grid emission factor</t>
  </si>
  <si>
    <t xml:space="preserve">Electricity Grid Emissions: Provincial Grid Impacts </t>
  </si>
  <si>
    <t>Waste quantity</t>
  </si>
  <si>
    <t>Biohazardous waste quantity before intervention</t>
  </si>
  <si>
    <t>Biohazardous waste quantity after intervention</t>
  </si>
  <si>
    <t>m3</t>
  </si>
  <si>
    <t>Impact from water saving for autoclaving</t>
  </si>
  <si>
    <t>Average annual GHG savings (metric tonne CO2e/year)</t>
  </si>
  <si>
    <t>Average medical waste treatment - autoclave</t>
  </si>
  <si>
    <t>WM Healthcare Solutions, Autoclave &amp; Incineration Emission Factors - April 2025</t>
  </si>
  <si>
    <t>Impact from reducing/diverting biohazardous waste 
(sorted as general mixed waste)</t>
  </si>
  <si>
    <t>Before intervention</t>
  </si>
  <si>
    <t>After intervention</t>
  </si>
  <si>
    <t>GHG Comparison (kgCO2e/year)</t>
  </si>
  <si>
    <t>Difference</t>
  </si>
  <si>
    <t>Waste Disposal Scenario</t>
  </si>
  <si>
    <t>Autoclave+Landfill</t>
  </si>
  <si>
    <t>Autoclave Emissions</t>
  </si>
  <si>
    <t>Landfill Emissions</t>
  </si>
  <si>
    <t>General waste - landfill</t>
  </si>
  <si>
    <t>The carbon footprint of waste streams in a UK hospital</t>
  </si>
  <si>
    <t>Figures are based on UK hospital waste management practices; these emission factors are also referenced by Choosing Wisely Canada Climate Recommendations (#17)</t>
  </si>
  <si>
    <t>Source</t>
  </si>
  <si>
    <t>Response Distribution by Number of beds</t>
  </si>
  <si>
    <t>Biohazardous Waste Treatment Scenario</t>
  </si>
  <si>
    <r>
      <t xml:space="preserve">About </t>
    </r>
    <r>
      <rPr>
        <b/>
        <i/>
        <sz val="14"/>
        <color theme="1"/>
        <rFont val="Roboto"/>
      </rPr>
      <t>Decarbonization in Action</t>
    </r>
  </si>
  <si>
    <t xml:space="preserve">https://greenhealthcare.ca/accelerating-decarbonization/  </t>
  </si>
  <si>
    <t>Disclaimer</t>
  </si>
  <si>
    <t>Required fields</t>
  </si>
  <si>
    <t>Confirm default values or update with custom data</t>
  </si>
  <si>
    <t>Optional fields</t>
  </si>
  <si>
    <t>Leave blank if not available/applicable</t>
  </si>
  <si>
    <t>*Focusing only on emissions associated with BHW disposal before and after intervention; emissions associated with general waste landfilling are excluded from this comparison as data for total waste generated per operation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</si>
</sst>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Roboto"/>
    </font>
    <font>
      <b/>
      <i/>
      <sz val="14"/>
      <color theme="1"/>
      <name val="Roboto"/>
    </font>
    <font>
      <u/>
      <sz val="11"/>
      <color rgb="FF00B0F0"/>
      <name val="Roboto"/>
    </font>
    <font>
      <b/>
      <sz val="14"/>
      <name val="Roboto"/>
    </font>
    <font>
      <b/>
      <sz val="11"/>
      <color theme="5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4" borderId="4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horizontal="right" vertical="center" wrapText="1"/>
    </xf>
    <xf numFmtId="10" fontId="0" fillId="2" borderId="0" xfId="0" applyNumberForma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165" fontId="0" fillId="2" borderId="0" xfId="1" applyNumberFormat="1" applyFont="1" applyFill="1"/>
    <xf numFmtId="0" fontId="4" fillId="2" borderId="0" xfId="2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3" fillId="2" borderId="1" xfId="2" applyFill="1" applyBorder="1" applyAlignment="1">
      <alignment wrapText="1"/>
    </xf>
    <xf numFmtId="0" fontId="0" fillId="3" borderId="0" xfId="0" applyFill="1"/>
    <xf numFmtId="164" fontId="0" fillId="3" borderId="0" xfId="0" applyNumberFormat="1" applyFill="1"/>
    <xf numFmtId="0" fontId="0" fillId="3" borderId="1" xfId="0" applyFill="1" applyBorder="1" applyAlignment="1">
      <alignment vertical="center" wrapText="1"/>
    </xf>
    <xf numFmtId="165" fontId="0" fillId="3" borderId="1" xfId="1" applyNumberFormat="1" applyFont="1" applyFill="1" applyBorder="1"/>
    <xf numFmtId="0" fontId="0" fillId="3" borderId="1" xfId="0" applyFill="1" applyBorder="1"/>
    <xf numFmtId="165" fontId="0" fillId="3" borderId="1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1" xfId="2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2" fillId="2" borderId="1" xfId="0" applyFont="1" applyFill="1" applyBorder="1"/>
    <xf numFmtId="165" fontId="0" fillId="2" borderId="1" xfId="1" applyNumberFormat="1" applyFont="1" applyFill="1" applyBorder="1" applyAlignment="1">
      <alignment horizontal="right" vertical="center" wrapText="1"/>
    </xf>
    <xf numFmtId="43" fontId="0" fillId="2" borderId="1" xfId="1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8" fillId="2" borderId="0" xfId="2" applyFont="1" applyFill="1" applyBorder="1"/>
    <xf numFmtId="0" fontId="9" fillId="2" borderId="0" xfId="0" applyFont="1" applyFill="1"/>
    <xf numFmtId="165" fontId="0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wrapText="1"/>
    </xf>
    <xf numFmtId="0" fontId="10" fillId="2" borderId="1" xfId="0" applyFont="1" applyFill="1" applyBorder="1" applyAlignment="1">
      <alignment vertical="center"/>
    </xf>
    <xf numFmtId="0" fontId="1" fillId="5" borderId="1" xfId="4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" fillId="6" borderId="1" xfId="5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" fillId="2" borderId="0" xfId="5" applyFill="1" applyBorder="1" applyAlignment="1">
      <alignment vertical="center" wrapText="1"/>
    </xf>
    <xf numFmtId="0" fontId="2" fillId="2" borderId="5" xfId="0" applyFont="1" applyFill="1" applyBorder="1"/>
    <xf numFmtId="0" fontId="0" fillId="2" borderId="0" xfId="0" applyFill="1" applyBorder="1"/>
    <xf numFmtId="0" fontId="0" fillId="4" borderId="4" xfId="3" applyFont="1"/>
    <xf numFmtId="165" fontId="0" fillId="7" borderId="1" xfId="1" applyNumberFormat="1" applyFont="1" applyFill="1" applyBorder="1" applyAlignment="1" applyProtection="1">
      <alignment horizontal="right" vertical="center" wrapText="1"/>
      <protection locked="0"/>
    </xf>
    <xf numFmtId="165" fontId="0" fillId="8" borderId="1" xfId="1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</cellXfs>
  <cellStyles count="6">
    <cellStyle name="20% - Accent2" xfId="4" builtinId="34"/>
    <cellStyle name="20% - Accent3" xfId="5" builtinId="38"/>
    <cellStyle name="Comma" xfId="1" builtinId="3"/>
    <cellStyle name="Hyperlink" xfId="2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90666</xdr:rowOff>
    </xdr:from>
    <xdr:to>
      <xdr:col>11</xdr:col>
      <xdr:colOff>496044</xdr:colOff>
      <xdr:row>6</xdr:row>
      <xdr:rowOff>43041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B9B77D-3351-4E4F-B4CB-730265344A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0" b="31280"/>
        <a:stretch/>
      </xdr:blipFill>
      <xdr:spPr bwMode="auto">
        <a:xfrm>
          <a:off x="4781550" y="281166"/>
          <a:ext cx="242009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418447</xdr:colOff>
      <xdr:row>6</xdr:row>
      <xdr:rowOff>133707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4D119A-BB2B-488A-8B7B-9727D59E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4076047" cy="108620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1</xdr:rowOff>
    </xdr:from>
    <xdr:to>
      <xdr:col>14</xdr:col>
      <xdr:colOff>238124</xdr:colOff>
      <xdr:row>8</xdr:row>
      <xdr:rowOff>1085851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1880770-0CF2-4BBD-ACD1-FE6600CD55C1}"/>
            </a:ext>
          </a:extLst>
        </xdr:cNvPr>
        <xdr:cNvSpPr txBox="1"/>
      </xdr:nvSpPr>
      <xdr:spPr>
        <a:xfrm>
          <a:off x="161925" y="1571626"/>
          <a:ext cx="8162924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resource was developed as part of the Decarbonization in Action project, supporting Canadian hospitals to reduce greenhouse gas emissions across building systems, clinical activities, and organizational processes.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project is a partnership of the Canadian Coalition for Green Health Care and MaRS Discovery District, and made possible by the Peter Gilgan Foundation.</a:t>
          </a:r>
        </a:p>
      </xdr:txBody>
    </xdr:sp>
    <xdr:clientData/>
  </xdr:twoCellAnchor>
  <xdr:twoCellAnchor>
    <xdr:from>
      <xdr:col>0</xdr:col>
      <xdr:colOff>85725</xdr:colOff>
      <xdr:row>12</xdr:row>
      <xdr:rowOff>19050</xdr:rowOff>
    </xdr:from>
    <xdr:to>
      <xdr:col>13</xdr:col>
      <xdr:colOff>533402</xdr:colOff>
      <xdr:row>24</xdr:row>
      <xdr:rowOff>85726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07FF14-AD9F-4924-B5E8-572F95413F21}"/>
            </a:ext>
          </a:extLst>
        </xdr:cNvPr>
        <xdr:cNvSpPr txBox="1"/>
      </xdr:nvSpPr>
      <xdr:spPr>
        <a:xfrm>
          <a:off x="85725" y="3400425"/>
          <a:ext cx="7924802" cy="2352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The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carbon impact and cost-benefit calculators </a:t>
          </a: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are intended to help hospitals estimate the project-level carbon and financial saving potential of certain initiatives relative to the business-as-usual scenario. The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results could be used to inform 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impact evaluation, business case development, and in some cases compare alternative scenarios.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Where feasible, these calculators take a life cycle approach and aim to capture whole life cycle emissions impacts. Some calculators are more detailed and customizable, while others provide higher-level estimates based on established models and public sources. The calculation boundary, methodology, assumptions, references, and key data sources are stated within each tool.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These calculators are intended for project-level estimation only and should not be used for organizational emissions accounting or cited as ISO-compliant life cycle assessments. Please contact us if you encounter any issues with these resources.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sabeth Perlikowski" id="{281D772A-78BF-4D52-BAE2-55147B839FCA}" userId="S::elisabeth.perlikowski@sickkids.ca::bf6e8130-35b6-4ddf-a8d7-7c0beb60f8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0" dT="2026-03-16T13:36:36.20" personId="{281D772A-78BF-4D52-BAE2-55147B839FCA}" id="{FE6B583B-BA59-4E19-81D1-BDBF331F78A9}">
    <text xml:space="preserve">The biohazardous waste is autoclaved and then landfill.  Just recently, Daniels changed their process and all biohazardous/yellow waste goes to energy from waste incinerator to keep the costs down. For this calculation, let’s use the autoclave/landfill scenario, how come you’re using an average? Wouldn’t the waste generate GHG from being autoclaved and then from landfill? </text>
  </threadedComment>
  <threadedComment ref="C30" dT="2026-03-16T13:42:14.32" personId="{281D772A-78BF-4D52-BAE2-55147B839FCA}" id="{68C19437-6079-43D3-8D61-DB2E9BFD373A}">
    <text>The biohazardous/yellow waste in Canada does not need to be incinerated.</text>
  </threadedComment>
  <threadedComment ref="B31" dT="2026-03-16T13:38:59.36" personId="{281D772A-78BF-4D52-BAE2-55147B839FCA}" id="{6FBC280F-6D17-4542-846B-C5C0FC5C6F77}">
    <text>Same comment as for before intervention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enhealthcare.ca/accelerating-decarboniz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02/cite.202300152" TargetMode="External"/><Relationship Id="rId2" Type="http://schemas.openxmlformats.org/officeDocument/2006/relationships/hyperlink" Target="https://onlinelibrary.wiley.com/doi/10.1002/cite.202300152?utm_medium=article&amp;utm_source=researchgate.net" TargetMode="External"/><Relationship Id="rId1" Type="http://schemas.openxmlformats.org/officeDocument/2006/relationships/hyperlink" Target="https://wrap.warwick.ac.uk/146279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ustainability.wm.com/downloads/WMHS_Emissions%20Factors_white_Final.pdf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carbon.taf.ca/2024/electricity-gri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reenhealthcare.ca/wp-content/uploads/2024/08/GHS-2021-data-Report-February-29th-2024-UPDA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2E48-7B4A-43FC-964C-2F75719DD2F7}">
  <sheetPr>
    <tabColor rgb="FFFFC000"/>
  </sheetPr>
  <dimension ref="B8:B12"/>
  <sheetViews>
    <sheetView tabSelected="1" workbookViewId="0">
      <selection activeCell="S11" sqref="S11"/>
    </sheetView>
  </sheetViews>
  <sheetFormatPr defaultRowHeight="15" x14ac:dyDescent="0.25"/>
  <cols>
    <col min="1" max="1" width="2.42578125" style="2" customWidth="1"/>
    <col min="2" max="16384" width="9.140625" style="2"/>
  </cols>
  <sheetData>
    <row r="8" spans="2:2" ht="18.75" x14ac:dyDescent="0.3">
      <c r="B8" s="35" t="s">
        <v>99</v>
      </c>
    </row>
    <row r="9" spans="2:2" ht="93.75" customHeight="1" x14ac:dyDescent="0.25"/>
    <row r="10" spans="2:2" x14ac:dyDescent="0.25">
      <c r="B10" s="36" t="s">
        <v>100</v>
      </c>
    </row>
    <row r="12" spans="2:2" ht="18.75" x14ac:dyDescent="0.3">
      <c r="B12" s="37" t="s">
        <v>101</v>
      </c>
    </row>
  </sheetData>
  <sheetProtection algorithmName="SHA-512" hashValue="vsREQgz9RLTB0ZtY3PkRiWigMTizRLtkVf9Y0XzMsUVKiG3yq4oBaxH3CRC1lg7i+Rz11WZ6krzJsFesDdrtcw==" saltValue="B9OfBKd1ubSu9pQs+kqHng==" spinCount="100000" sheet="1" objects="1" scenarios="1"/>
  <hyperlinks>
    <hyperlink ref="B10" r:id="rId1" xr:uid="{666C8979-CBF7-41F1-B20F-2D3CAFBF0DC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B16-7F2A-4982-85D7-02E8937DD0D9}">
  <dimension ref="A1:E36"/>
  <sheetViews>
    <sheetView showGridLines="0" topLeftCell="A16" zoomScale="80" zoomScaleNormal="80" workbookViewId="0">
      <selection activeCell="D20" sqref="D20"/>
    </sheetView>
  </sheetViews>
  <sheetFormatPr defaultColWidth="9.140625" defaultRowHeight="15" x14ac:dyDescent="0.25"/>
  <cols>
    <col min="1" max="1" width="56.42578125" style="2" customWidth="1"/>
    <col min="2" max="2" width="39.7109375" style="2" customWidth="1"/>
    <col min="3" max="3" width="31" style="2" customWidth="1"/>
    <col min="4" max="4" width="69" style="14" customWidth="1"/>
    <col min="5" max="5" width="123.42578125" style="14" customWidth="1"/>
    <col min="6" max="16384" width="9.140625" style="2"/>
  </cols>
  <sheetData>
    <row r="1" spans="1:5" x14ac:dyDescent="0.25">
      <c r="A1" s="32" t="s">
        <v>98</v>
      </c>
      <c r="B1" s="48" t="s">
        <v>90</v>
      </c>
    </row>
    <row r="2" spans="1:5" x14ac:dyDescent="0.25">
      <c r="A2" s="46"/>
      <c r="B2" s="47"/>
    </row>
    <row r="3" spans="1:5" ht="30" x14ac:dyDescent="0.25">
      <c r="A3" s="40" t="s">
        <v>102</v>
      </c>
      <c r="B3" s="41" t="s">
        <v>103</v>
      </c>
    </row>
    <row r="4" spans="1:5" x14ac:dyDescent="0.25">
      <c r="A4" s="42" t="s">
        <v>104</v>
      </c>
      <c r="B4" s="43" t="s">
        <v>105</v>
      </c>
    </row>
    <row r="5" spans="1:5" x14ac:dyDescent="0.25">
      <c r="A5" s="44"/>
      <c r="B5" s="45"/>
    </row>
    <row r="6" spans="1:5" x14ac:dyDescent="0.25">
      <c r="A6" s="1" t="s">
        <v>76</v>
      </c>
    </row>
    <row r="7" spans="1:5" x14ac:dyDescent="0.25">
      <c r="A7" s="51" t="s">
        <v>77</v>
      </c>
      <c r="B7" s="49"/>
      <c r="C7" s="16" t="s">
        <v>50</v>
      </c>
      <c r="D7" s="31"/>
    </row>
    <row r="8" spans="1:5" x14ac:dyDescent="0.25">
      <c r="A8" s="52"/>
      <c r="B8" s="33">
        <f>B7*12/1000</f>
        <v>0</v>
      </c>
      <c r="C8" s="16" t="s">
        <v>53</v>
      </c>
    </row>
    <row r="9" spans="1:5" x14ac:dyDescent="0.25">
      <c r="A9" s="53" t="s">
        <v>78</v>
      </c>
      <c r="B9" s="49"/>
      <c r="C9" s="16" t="s">
        <v>50</v>
      </c>
      <c r="D9" s="31"/>
    </row>
    <row r="10" spans="1:5" x14ac:dyDescent="0.25">
      <c r="A10" s="54"/>
      <c r="B10" s="33">
        <f>B9*12/1000</f>
        <v>0</v>
      </c>
      <c r="C10" s="16" t="s">
        <v>53</v>
      </c>
    </row>
    <row r="11" spans="1:5" x14ac:dyDescent="0.25">
      <c r="A11" s="55" t="s">
        <v>59</v>
      </c>
      <c r="B11" s="50"/>
      <c r="C11" s="18" t="s">
        <v>60</v>
      </c>
    </row>
    <row r="12" spans="1:5" x14ac:dyDescent="0.25">
      <c r="A12" s="55"/>
      <c r="B12" s="33">
        <f>B11/1000</f>
        <v>0</v>
      </c>
      <c r="C12" s="18" t="s">
        <v>79</v>
      </c>
    </row>
    <row r="14" spans="1:5" x14ac:dyDescent="0.25">
      <c r="A14" s="1" t="s">
        <v>87</v>
      </c>
      <c r="B14" s="26" t="s">
        <v>91</v>
      </c>
      <c r="C14" s="26" t="s">
        <v>92</v>
      </c>
      <c r="D14" s="15"/>
    </row>
    <row r="15" spans="1:5" x14ac:dyDescent="0.25">
      <c r="A15" s="18" t="s">
        <v>85</v>
      </c>
      <c r="B15" s="33">
        <f>B8*B29</f>
        <v>0</v>
      </c>
      <c r="C15" s="33">
        <f>B8*B28</f>
        <v>0</v>
      </c>
    </row>
    <row r="16" spans="1:5" ht="60" x14ac:dyDescent="0.25">
      <c r="A16" s="18" t="s">
        <v>86</v>
      </c>
      <c r="B16" s="33">
        <f>B10*B29</f>
        <v>0</v>
      </c>
      <c r="C16" s="38">
        <f>B10*B28</f>
        <v>0</v>
      </c>
      <c r="D16" s="39" t="s">
        <v>106</v>
      </c>
      <c r="E16" s="2"/>
    </row>
    <row r="17" spans="1:5" x14ac:dyDescent="0.25">
      <c r="A17" s="18" t="s">
        <v>88</v>
      </c>
      <c r="B17" s="33">
        <f>B15-B16</f>
        <v>0</v>
      </c>
      <c r="C17" s="33">
        <f>C15-C16</f>
        <v>0</v>
      </c>
    </row>
    <row r="19" spans="1:5" ht="30" x14ac:dyDescent="0.25">
      <c r="A19" s="26" t="s">
        <v>84</v>
      </c>
      <c r="B19" s="29" t="s">
        <v>52</v>
      </c>
    </row>
    <row r="20" spans="1:5" ht="30" x14ac:dyDescent="0.25">
      <c r="A20" s="22" t="s">
        <v>57</v>
      </c>
      <c r="B20" s="23">
        <f>AVERAGE(B17:C17)/1000</f>
        <v>0</v>
      </c>
    </row>
    <row r="21" spans="1:5" x14ac:dyDescent="0.25">
      <c r="A21" s="24" t="s">
        <v>54</v>
      </c>
      <c r="B21" s="25">
        <f>B20/3.26*15021</f>
        <v>0</v>
      </c>
    </row>
    <row r="22" spans="1:5" x14ac:dyDescent="0.25">
      <c r="B22" s="12"/>
    </row>
    <row r="23" spans="1:5" x14ac:dyDescent="0.25">
      <c r="A23" s="1" t="s">
        <v>80</v>
      </c>
    </row>
    <row r="24" spans="1:5" x14ac:dyDescent="0.25">
      <c r="A24" s="24" t="s">
        <v>81</v>
      </c>
      <c r="B24" s="25">
        <f>B12*B32/1000</f>
        <v>0</v>
      </c>
      <c r="E24" s="2"/>
    </row>
    <row r="25" spans="1:5" x14ac:dyDescent="0.25">
      <c r="E25" s="2"/>
    </row>
    <row r="26" spans="1:5" x14ac:dyDescent="0.25">
      <c r="E26" s="2"/>
    </row>
    <row r="27" spans="1:5" s="28" customFormat="1" x14ac:dyDescent="0.25">
      <c r="A27" s="26" t="s">
        <v>89</v>
      </c>
      <c r="B27" s="26" t="s">
        <v>47</v>
      </c>
      <c r="C27" s="26" t="s">
        <v>37</v>
      </c>
      <c r="D27" s="26" t="s">
        <v>49</v>
      </c>
      <c r="E27" s="27" t="s">
        <v>46</v>
      </c>
    </row>
    <row r="28" spans="1:5" ht="45" x14ac:dyDescent="0.25">
      <c r="A28" s="16" t="s">
        <v>93</v>
      </c>
      <c r="B28" s="33">
        <f>AVERAGE(172,249)</f>
        <v>210.5</v>
      </c>
      <c r="C28" s="16" t="s">
        <v>48</v>
      </c>
      <c r="D28" s="17" t="s">
        <v>95</v>
      </c>
      <c r="E28" s="19" t="s">
        <v>94</v>
      </c>
    </row>
    <row r="29" spans="1:5" ht="15" customHeight="1" x14ac:dyDescent="0.25">
      <c r="A29" s="16" t="s">
        <v>82</v>
      </c>
      <c r="B29" s="33">
        <v>549</v>
      </c>
      <c r="C29" s="16" t="s">
        <v>48</v>
      </c>
      <c r="D29" s="17" t="s">
        <v>51</v>
      </c>
      <c r="E29" s="30" t="s">
        <v>83</v>
      </c>
    </row>
    <row r="31" spans="1:5" x14ac:dyDescent="0.25">
      <c r="A31" s="1" t="s">
        <v>58</v>
      </c>
      <c r="B31" s="4" t="s">
        <v>47</v>
      </c>
      <c r="C31" s="3" t="s">
        <v>37</v>
      </c>
      <c r="D31" s="3" t="s">
        <v>49</v>
      </c>
      <c r="E31" s="15" t="s">
        <v>46</v>
      </c>
    </row>
    <row r="32" spans="1:5" ht="30" x14ac:dyDescent="0.25">
      <c r="A32" s="18" t="s">
        <v>61</v>
      </c>
      <c r="B32" s="34">
        <v>5.3</v>
      </c>
      <c r="C32" s="18" t="s">
        <v>62</v>
      </c>
      <c r="D32" s="17" t="s">
        <v>71</v>
      </c>
      <c r="E32" s="17" t="s">
        <v>63</v>
      </c>
    </row>
    <row r="33" spans="1:5" x14ac:dyDescent="0.25">
      <c r="A33" s="18" t="s">
        <v>72</v>
      </c>
      <c r="B33" s="34">
        <v>7.0000000000000007E-2</v>
      </c>
      <c r="C33" s="18" t="s">
        <v>73</v>
      </c>
      <c r="D33" s="17" t="s">
        <v>74</v>
      </c>
      <c r="E33" s="19" t="s">
        <v>75</v>
      </c>
    </row>
    <row r="34" spans="1:5" ht="30" x14ac:dyDescent="0.25">
      <c r="A34" s="18" t="s">
        <v>64</v>
      </c>
      <c r="B34" s="33">
        <v>105</v>
      </c>
      <c r="C34" s="18" t="s">
        <v>65</v>
      </c>
      <c r="D34" s="17" t="s">
        <v>63</v>
      </c>
      <c r="E34" s="19" t="s">
        <v>70</v>
      </c>
    </row>
    <row r="35" spans="1:5" x14ac:dyDescent="0.25">
      <c r="A35" s="18" t="s">
        <v>66</v>
      </c>
      <c r="B35" s="34">
        <f>B34*B33</f>
        <v>7.3500000000000005</v>
      </c>
      <c r="C35" s="18" t="s">
        <v>62</v>
      </c>
      <c r="D35" s="17" t="s">
        <v>67</v>
      </c>
      <c r="E35" s="17" t="s">
        <v>63</v>
      </c>
    </row>
    <row r="36" spans="1:5" x14ac:dyDescent="0.25">
      <c r="A36" s="18" t="s">
        <v>68</v>
      </c>
      <c r="B36" s="34">
        <v>2.85</v>
      </c>
      <c r="C36" s="18" t="s">
        <v>62</v>
      </c>
      <c r="D36" s="17" t="s">
        <v>63</v>
      </c>
      <c r="E36" s="19" t="s">
        <v>69</v>
      </c>
    </row>
  </sheetData>
  <mergeCells count="3">
    <mergeCell ref="A7:A8"/>
    <mergeCell ref="A9:A10"/>
    <mergeCell ref="A11:A12"/>
  </mergeCells>
  <hyperlinks>
    <hyperlink ref="E28" r:id="rId1" xr:uid="{EA6E0F76-3166-485F-9DD6-B9924DC9C38A}"/>
    <hyperlink ref="E36" r:id="rId2" xr:uid="{286216CC-1512-4DB3-966D-BCC4A436687E}"/>
    <hyperlink ref="E34" r:id="rId3" xr:uid="{22DFDC70-E035-471F-A147-1B37B7B975E7}"/>
    <hyperlink ref="E33" r:id="rId4" xr:uid="{B23DDC3D-4690-48DE-9509-D8C60E410324}"/>
    <hyperlink ref="E29" r:id="rId5" xr:uid="{398D4961-AEBD-4FF0-B294-3F282D091CE6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FB0D-EB93-49C8-889E-6407F53F4C17}">
  <sheetPr filterMode="1"/>
  <dimension ref="A1:G87"/>
  <sheetViews>
    <sheetView workbookViewId="0">
      <selection activeCell="B22" sqref="B22"/>
    </sheetView>
  </sheetViews>
  <sheetFormatPr defaultColWidth="9.140625" defaultRowHeight="15" x14ac:dyDescent="0.25"/>
  <cols>
    <col min="1" max="1" width="59.5703125" style="2" customWidth="1"/>
    <col min="2" max="2" width="15.7109375" style="2" customWidth="1"/>
    <col min="3" max="3" width="26.140625" style="2" customWidth="1"/>
    <col min="4" max="4" width="23.140625" style="2" customWidth="1"/>
    <col min="5" max="5" width="13.42578125" style="2" bestFit="1" customWidth="1"/>
    <col min="6" max="6" width="24" style="2" bestFit="1" customWidth="1"/>
    <col min="7" max="7" width="29.7109375" style="2" bestFit="1" customWidth="1"/>
    <col min="8" max="16384" width="9.140625" style="2"/>
  </cols>
  <sheetData>
    <row r="1" spans="1:4" x14ac:dyDescent="0.25">
      <c r="A1" s="1" t="s">
        <v>96</v>
      </c>
      <c r="B1" s="13" t="s">
        <v>0</v>
      </c>
    </row>
    <row r="2" spans="1:4" x14ac:dyDescent="0.25">
      <c r="A2" s="1"/>
      <c r="B2" s="13"/>
    </row>
    <row r="3" spans="1:4" x14ac:dyDescent="0.25">
      <c r="B3" s="1" t="s">
        <v>36</v>
      </c>
      <c r="C3" s="1" t="s">
        <v>37</v>
      </c>
    </row>
    <row r="4" spans="1:4" x14ac:dyDescent="0.25">
      <c r="A4" s="2" t="s">
        <v>35</v>
      </c>
      <c r="B4" s="11">
        <f>C12</f>
        <v>13798</v>
      </c>
      <c r="C4" s="2" t="s">
        <v>38</v>
      </c>
    </row>
    <row r="5" spans="1:4" x14ac:dyDescent="0.25">
      <c r="A5" s="20" t="s">
        <v>55</v>
      </c>
      <c r="B5" s="21">
        <f>B4/SUM(G34:G84)</f>
        <v>0.50880395302100045</v>
      </c>
      <c r="C5" s="20" t="s">
        <v>41</v>
      </c>
    </row>
    <row r="6" spans="1:4" x14ac:dyDescent="0.25">
      <c r="A6" s="20" t="s">
        <v>56</v>
      </c>
      <c r="B6" s="21">
        <f>B4/B87</f>
        <v>1.955075488187932E-3</v>
      </c>
      <c r="C6" s="20" t="s">
        <v>45</v>
      </c>
    </row>
    <row r="8" spans="1:4" x14ac:dyDescent="0.25">
      <c r="A8" s="1" t="s">
        <v>39</v>
      </c>
    </row>
    <row r="9" spans="1:4" x14ac:dyDescent="0.25">
      <c r="A9" s="2" t="s">
        <v>19</v>
      </c>
    </row>
    <row r="10" spans="1:4" ht="30" x14ac:dyDescent="0.25">
      <c r="B10" s="3" t="s">
        <v>1</v>
      </c>
      <c r="C10" s="4" t="s">
        <v>2</v>
      </c>
      <c r="D10" s="4" t="s">
        <v>3</v>
      </c>
    </row>
    <row r="11" spans="1:4" ht="30" x14ac:dyDescent="0.25">
      <c r="B11" s="5" t="s">
        <v>4</v>
      </c>
      <c r="C11" s="6">
        <v>46923</v>
      </c>
      <c r="D11" s="7">
        <v>0.54779999999999995</v>
      </c>
    </row>
    <row r="12" spans="1:4" x14ac:dyDescent="0.25">
      <c r="B12" s="5" t="s">
        <v>5</v>
      </c>
      <c r="C12" s="6">
        <v>13798</v>
      </c>
      <c r="D12" s="7">
        <v>0.16109999999999999</v>
      </c>
    </row>
    <row r="13" spans="1:4" x14ac:dyDescent="0.25">
      <c r="B13" s="5" t="s">
        <v>6</v>
      </c>
      <c r="C13" s="6">
        <v>5693</v>
      </c>
      <c r="D13" s="7">
        <v>6.6500000000000004E-2</v>
      </c>
    </row>
    <row r="14" spans="1:4" x14ac:dyDescent="0.25">
      <c r="B14" s="5" t="s">
        <v>7</v>
      </c>
      <c r="C14" s="6">
        <v>4726</v>
      </c>
      <c r="D14" s="7">
        <v>5.5199999999999999E-2</v>
      </c>
    </row>
    <row r="15" spans="1:4" x14ac:dyDescent="0.25">
      <c r="B15" s="5" t="s">
        <v>8</v>
      </c>
      <c r="C15" s="6">
        <v>4395</v>
      </c>
      <c r="D15" s="7">
        <v>5.1299999999999998E-2</v>
      </c>
    </row>
    <row r="16" spans="1:4" x14ac:dyDescent="0.25">
      <c r="B16" s="5" t="s">
        <v>9</v>
      </c>
      <c r="C16" s="6">
        <v>7051</v>
      </c>
      <c r="D16" s="7">
        <v>8.2299999999999998E-2</v>
      </c>
    </row>
    <row r="17" spans="1:7" x14ac:dyDescent="0.25">
      <c r="B17" s="5" t="s">
        <v>10</v>
      </c>
      <c r="C17" s="8">
        <v>257</v>
      </c>
      <c r="D17" s="7">
        <v>3.0000000000000001E-3</v>
      </c>
    </row>
    <row r="18" spans="1:7" x14ac:dyDescent="0.25">
      <c r="B18" s="5" t="s">
        <v>11</v>
      </c>
      <c r="C18" s="8">
        <v>16</v>
      </c>
      <c r="D18" s="7">
        <v>2.0000000000000001E-4</v>
      </c>
    </row>
    <row r="19" spans="1:7" x14ac:dyDescent="0.25">
      <c r="B19" s="5" t="s">
        <v>12</v>
      </c>
      <c r="C19" s="8">
        <v>517</v>
      </c>
      <c r="D19" s="7">
        <v>6.0000000000000001E-3</v>
      </c>
    </row>
    <row r="20" spans="1:7" x14ac:dyDescent="0.25">
      <c r="B20" s="5" t="s">
        <v>13</v>
      </c>
      <c r="C20" s="8">
        <v>19</v>
      </c>
      <c r="D20" s="7">
        <v>2.0000000000000001E-4</v>
      </c>
    </row>
    <row r="21" spans="1:7" x14ac:dyDescent="0.25">
      <c r="B21" s="5" t="s">
        <v>14</v>
      </c>
      <c r="C21" s="8">
        <v>901</v>
      </c>
      <c r="D21" s="7">
        <v>1.0500000000000001E-2</v>
      </c>
    </row>
    <row r="22" spans="1:7" x14ac:dyDescent="0.25">
      <c r="B22" s="5" t="s">
        <v>15</v>
      </c>
      <c r="C22" s="8">
        <v>34</v>
      </c>
      <c r="D22" s="7">
        <v>4.0000000000000002E-4</v>
      </c>
    </row>
    <row r="23" spans="1:7" x14ac:dyDescent="0.25">
      <c r="B23" s="5" t="s">
        <v>16</v>
      </c>
      <c r="C23" s="8">
        <v>49</v>
      </c>
      <c r="D23" s="7">
        <v>5.9999999999999995E-4</v>
      </c>
    </row>
    <row r="24" spans="1:7" x14ac:dyDescent="0.25">
      <c r="B24" s="5" t="s">
        <v>17</v>
      </c>
      <c r="C24" s="6">
        <v>1277</v>
      </c>
      <c r="D24" s="7">
        <v>1.49E-2</v>
      </c>
    </row>
    <row r="25" spans="1:7" ht="30" x14ac:dyDescent="0.25">
      <c r="B25" s="9" t="s">
        <v>18</v>
      </c>
      <c r="C25" s="10">
        <v>85656</v>
      </c>
      <c r="D25" s="8"/>
    </row>
    <row r="27" spans="1:7" x14ac:dyDescent="0.25">
      <c r="A27" s="1" t="s">
        <v>97</v>
      </c>
    </row>
    <row r="28" spans="1:7" x14ac:dyDescent="0.25">
      <c r="A28" s="2" t="s">
        <v>20</v>
      </c>
    </row>
    <row r="29" spans="1:7" x14ac:dyDescent="0.25">
      <c r="B29" s="3" t="s">
        <v>21</v>
      </c>
      <c r="C29" s="3" t="s">
        <v>22</v>
      </c>
      <c r="D29" s="4" t="s">
        <v>23</v>
      </c>
      <c r="F29" s="1" t="s">
        <v>40</v>
      </c>
      <c r="G29" s="1" t="s">
        <v>44</v>
      </c>
    </row>
    <row r="30" spans="1:7" hidden="1" x14ac:dyDescent="0.25">
      <c r="B30" s="5" t="s">
        <v>24</v>
      </c>
      <c r="C30" s="5">
        <v>2017</v>
      </c>
      <c r="D30" s="8">
        <v>29</v>
      </c>
      <c r="F30" s="2">
        <f>AVERAGE(1,99)</f>
        <v>50</v>
      </c>
    </row>
    <row r="31" spans="1:7" hidden="1" x14ac:dyDescent="0.25">
      <c r="B31" s="5" t="s">
        <v>24</v>
      </c>
      <c r="C31" s="5">
        <v>2018</v>
      </c>
      <c r="D31" s="8">
        <v>27</v>
      </c>
      <c r="F31" s="2">
        <f t="shared" ref="F31:F34" si="0">AVERAGE(1,99)</f>
        <v>50</v>
      </c>
    </row>
    <row r="32" spans="1:7" hidden="1" x14ac:dyDescent="0.25">
      <c r="B32" s="5" t="s">
        <v>24</v>
      </c>
      <c r="C32" s="5">
        <v>2019</v>
      </c>
      <c r="D32" s="8">
        <v>28</v>
      </c>
      <c r="F32" s="2">
        <f t="shared" si="0"/>
        <v>50</v>
      </c>
    </row>
    <row r="33" spans="2:7" hidden="1" x14ac:dyDescent="0.25">
      <c r="B33" s="5" t="s">
        <v>24</v>
      </c>
      <c r="C33" s="5">
        <v>2020</v>
      </c>
      <c r="D33" s="8">
        <v>28</v>
      </c>
      <c r="F33" s="2">
        <f t="shared" si="0"/>
        <v>50</v>
      </c>
    </row>
    <row r="34" spans="2:7" x14ac:dyDescent="0.25">
      <c r="B34" s="5" t="s">
        <v>24</v>
      </c>
      <c r="C34" s="5">
        <v>2021</v>
      </c>
      <c r="D34" s="8">
        <v>22</v>
      </c>
      <c r="F34" s="2">
        <f t="shared" si="0"/>
        <v>50</v>
      </c>
      <c r="G34" s="2">
        <f>F34*D34</f>
        <v>1100</v>
      </c>
    </row>
    <row r="35" spans="2:7" hidden="1" x14ac:dyDescent="0.25">
      <c r="B35" s="5" t="s">
        <v>25</v>
      </c>
      <c r="C35" s="5">
        <v>2017</v>
      </c>
      <c r="D35" s="8">
        <v>19</v>
      </c>
      <c r="F35" s="2">
        <f>AVERAGE(100,199)</f>
        <v>149.5</v>
      </c>
    </row>
    <row r="36" spans="2:7" hidden="1" x14ac:dyDescent="0.25">
      <c r="B36" s="5" t="s">
        <v>25</v>
      </c>
      <c r="C36" s="5">
        <v>2018</v>
      </c>
      <c r="D36" s="8">
        <v>12</v>
      </c>
      <c r="F36" s="2">
        <f t="shared" ref="F36:F39" si="1">AVERAGE(100,199)</f>
        <v>149.5</v>
      </c>
    </row>
    <row r="37" spans="2:7" hidden="1" x14ac:dyDescent="0.25">
      <c r="B37" s="5" t="s">
        <v>25</v>
      </c>
      <c r="C37" s="5">
        <v>2019</v>
      </c>
      <c r="D37" s="8">
        <v>12</v>
      </c>
      <c r="F37" s="2">
        <f t="shared" si="1"/>
        <v>149.5</v>
      </c>
    </row>
    <row r="38" spans="2:7" hidden="1" x14ac:dyDescent="0.25">
      <c r="B38" s="5" t="s">
        <v>25</v>
      </c>
      <c r="C38" s="5">
        <v>2020</v>
      </c>
      <c r="D38" s="8">
        <v>12</v>
      </c>
      <c r="F38" s="2">
        <f t="shared" si="1"/>
        <v>149.5</v>
      </c>
    </row>
    <row r="39" spans="2:7" x14ac:dyDescent="0.25">
      <c r="B39" s="5" t="s">
        <v>25</v>
      </c>
      <c r="C39" s="5">
        <v>2021</v>
      </c>
      <c r="D39" s="8">
        <v>12</v>
      </c>
      <c r="F39" s="2">
        <f t="shared" si="1"/>
        <v>149.5</v>
      </c>
      <c r="G39" s="2">
        <f>F39*D39</f>
        <v>1794</v>
      </c>
    </row>
    <row r="40" spans="2:7" hidden="1" x14ac:dyDescent="0.25">
      <c r="B40" s="5" t="s">
        <v>26</v>
      </c>
      <c r="C40" s="5">
        <v>2017</v>
      </c>
      <c r="D40" s="8">
        <v>13</v>
      </c>
      <c r="F40" s="2">
        <f>AVERAGE(200,299)</f>
        <v>249.5</v>
      </c>
    </row>
    <row r="41" spans="2:7" hidden="1" x14ac:dyDescent="0.25">
      <c r="B41" s="5" t="s">
        <v>26</v>
      </c>
      <c r="C41" s="5">
        <v>2018</v>
      </c>
      <c r="D41" s="8">
        <v>11</v>
      </c>
      <c r="F41" s="2">
        <f t="shared" ref="F41:F44" si="2">AVERAGE(200,299)</f>
        <v>249.5</v>
      </c>
    </row>
    <row r="42" spans="2:7" hidden="1" x14ac:dyDescent="0.25">
      <c r="B42" s="5" t="s">
        <v>26</v>
      </c>
      <c r="C42" s="5">
        <v>2019</v>
      </c>
      <c r="D42" s="8">
        <v>14</v>
      </c>
      <c r="F42" s="2">
        <f t="shared" si="2"/>
        <v>249.5</v>
      </c>
    </row>
    <row r="43" spans="2:7" hidden="1" x14ac:dyDescent="0.25">
      <c r="B43" s="5" t="s">
        <v>26</v>
      </c>
      <c r="C43" s="5">
        <v>2020</v>
      </c>
      <c r="D43" s="8">
        <v>15</v>
      </c>
      <c r="F43" s="2">
        <f t="shared" si="2"/>
        <v>249.5</v>
      </c>
    </row>
    <row r="44" spans="2:7" x14ac:dyDescent="0.25">
      <c r="B44" s="5" t="s">
        <v>26</v>
      </c>
      <c r="C44" s="5">
        <v>2021</v>
      </c>
      <c r="D44" s="8">
        <v>7</v>
      </c>
      <c r="F44" s="2">
        <f t="shared" si="2"/>
        <v>249.5</v>
      </c>
      <c r="G44" s="2">
        <f>F44*D44</f>
        <v>1746.5</v>
      </c>
    </row>
    <row r="45" spans="2:7" hidden="1" x14ac:dyDescent="0.25">
      <c r="B45" s="5" t="s">
        <v>27</v>
      </c>
      <c r="C45" s="5">
        <v>2017</v>
      </c>
      <c r="D45" s="8">
        <v>12</v>
      </c>
      <c r="F45" s="2">
        <f>AVERAGE(300,399)</f>
        <v>349.5</v>
      </c>
    </row>
    <row r="46" spans="2:7" hidden="1" x14ac:dyDescent="0.25">
      <c r="B46" s="5" t="s">
        <v>27</v>
      </c>
      <c r="C46" s="5">
        <v>2018</v>
      </c>
      <c r="D46" s="8">
        <v>10</v>
      </c>
      <c r="F46" s="2">
        <f t="shared" ref="F46:F48" si="3">AVERAGE(300,399)</f>
        <v>349.5</v>
      </c>
    </row>
    <row r="47" spans="2:7" hidden="1" x14ac:dyDescent="0.25">
      <c r="B47" s="5" t="s">
        <v>27</v>
      </c>
      <c r="C47" s="5">
        <v>2019</v>
      </c>
      <c r="D47" s="8">
        <v>10</v>
      </c>
      <c r="F47" s="2">
        <f t="shared" si="3"/>
        <v>349.5</v>
      </c>
    </row>
    <row r="48" spans="2:7" hidden="1" x14ac:dyDescent="0.25">
      <c r="B48" s="5" t="s">
        <v>27</v>
      </c>
      <c r="C48" s="5">
        <v>2020</v>
      </c>
      <c r="D48" s="8">
        <v>8</v>
      </c>
      <c r="F48" s="2">
        <f t="shared" si="3"/>
        <v>349.5</v>
      </c>
    </row>
    <row r="49" spans="2:7" x14ac:dyDescent="0.25">
      <c r="B49" s="5" t="s">
        <v>27</v>
      </c>
      <c r="C49" s="5">
        <v>2021</v>
      </c>
      <c r="D49" s="8">
        <v>16</v>
      </c>
      <c r="F49" s="2">
        <f>AVERAGE(300,399)</f>
        <v>349.5</v>
      </c>
      <c r="G49" s="2">
        <f>F49*D49</f>
        <v>5592</v>
      </c>
    </row>
    <row r="50" spans="2:7" hidden="1" x14ac:dyDescent="0.25">
      <c r="B50" s="5" t="s">
        <v>28</v>
      </c>
      <c r="C50" s="5">
        <v>2017</v>
      </c>
      <c r="D50" s="8">
        <v>13</v>
      </c>
      <c r="F50" s="2">
        <f>AVERAGE(400,499)</f>
        <v>449.5</v>
      </c>
    </row>
    <row r="51" spans="2:7" hidden="1" x14ac:dyDescent="0.25">
      <c r="B51" s="5" t="s">
        <v>28</v>
      </c>
      <c r="C51" s="5">
        <v>2018</v>
      </c>
      <c r="D51" s="8">
        <v>12</v>
      </c>
      <c r="F51" s="2">
        <f t="shared" ref="F51:F54" si="4">AVERAGE(400,499)</f>
        <v>449.5</v>
      </c>
    </row>
    <row r="52" spans="2:7" hidden="1" x14ac:dyDescent="0.25">
      <c r="B52" s="5" t="s">
        <v>28</v>
      </c>
      <c r="C52" s="5">
        <v>2019</v>
      </c>
      <c r="D52" s="8">
        <v>9</v>
      </c>
      <c r="F52" s="2">
        <f t="shared" si="4"/>
        <v>449.5</v>
      </c>
    </row>
    <row r="53" spans="2:7" hidden="1" x14ac:dyDescent="0.25">
      <c r="B53" s="5" t="s">
        <v>28</v>
      </c>
      <c r="C53" s="5">
        <v>2020</v>
      </c>
      <c r="D53" s="8">
        <v>11</v>
      </c>
      <c r="F53" s="2">
        <f t="shared" si="4"/>
        <v>449.5</v>
      </c>
    </row>
    <row r="54" spans="2:7" x14ac:dyDescent="0.25">
      <c r="B54" s="5" t="s">
        <v>28</v>
      </c>
      <c r="C54" s="5">
        <v>2021</v>
      </c>
      <c r="D54" s="8">
        <v>11</v>
      </c>
      <c r="F54" s="2">
        <f t="shared" si="4"/>
        <v>449.5</v>
      </c>
      <c r="G54" s="2">
        <f>F54*D54</f>
        <v>4944.5</v>
      </c>
    </row>
    <row r="55" spans="2:7" hidden="1" x14ac:dyDescent="0.25">
      <c r="B55" s="5" t="s">
        <v>29</v>
      </c>
      <c r="C55" s="5">
        <v>2017</v>
      </c>
      <c r="D55" s="8">
        <v>3</v>
      </c>
      <c r="F55" s="2">
        <f>AVERAGE(500,599)</f>
        <v>549.5</v>
      </c>
    </row>
    <row r="56" spans="2:7" hidden="1" x14ac:dyDescent="0.25">
      <c r="B56" s="5" t="s">
        <v>29</v>
      </c>
      <c r="C56" s="5">
        <v>2018</v>
      </c>
      <c r="D56" s="8">
        <v>3</v>
      </c>
      <c r="F56" s="2">
        <f t="shared" ref="F56:F59" si="5">AVERAGE(500,599)</f>
        <v>549.5</v>
      </c>
    </row>
    <row r="57" spans="2:7" hidden="1" x14ac:dyDescent="0.25">
      <c r="B57" s="5" t="s">
        <v>29</v>
      </c>
      <c r="C57" s="5">
        <v>2019</v>
      </c>
      <c r="D57" s="8">
        <v>4</v>
      </c>
      <c r="F57" s="2">
        <f t="shared" si="5"/>
        <v>549.5</v>
      </c>
    </row>
    <row r="58" spans="2:7" hidden="1" x14ac:dyDescent="0.25">
      <c r="B58" s="5" t="s">
        <v>29</v>
      </c>
      <c r="C58" s="5">
        <v>2020</v>
      </c>
      <c r="D58" s="8">
        <v>4</v>
      </c>
      <c r="F58" s="2">
        <f t="shared" si="5"/>
        <v>549.5</v>
      </c>
    </row>
    <row r="59" spans="2:7" x14ac:dyDescent="0.25">
      <c r="B59" s="5" t="s">
        <v>29</v>
      </c>
      <c r="C59" s="5">
        <v>2021</v>
      </c>
      <c r="D59" s="8">
        <v>5</v>
      </c>
      <c r="F59" s="2">
        <f t="shared" si="5"/>
        <v>549.5</v>
      </c>
      <c r="G59" s="2">
        <f>F59*D59</f>
        <v>2747.5</v>
      </c>
    </row>
    <row r="60" spans="2:7" hidden="1" x14ac:dyDescent="0.25">
      <c r="B60" s="5" t="s">
        <v>30</v>
      </c>
      <c r="C60" s="5">
        <v>2017</v>
      </c>
      <c r="D60" s="8">
        <v>4</v>
      </c>
      <c r="F60" s="2">
        <f>AVERAGE(600,699)</f>
        <v>649.5</v>
      </c>
    </row>
    <row r="61" spans="2:7" hidden="1" x14ac:dyDescent="0.25">
      <c r="B61" s="5" t="s">
        <v>30</v>
      </c>
      <c r="C61" s="5">
        <v>2018</v>
      </c>
      <c r="D61" s="8">
        <v>3</v>
      </c>
      <c r="F61" s="2">
        <f t="shared" ref="F61:F64" si="6">AVERAGE(600,699)</f>
        <v>649.5</v>
      </c>
    </row>
    <row r="62" spans="2:7" hidden="1" x14ac:dyDescent="0.25">
      <c r="B62" s="5" t="s">
        <v>30</v>
      </c>
      <c r="C62" s="5">
        <v>2019</v>
      </c>
      <c r="D62" s="8">
        <v>4</v>
      </c>
      <c r="F62" s="2">
        <f t="shared" si="6"/>
        <v>649.5</v>
      </c>
    </row>
    <row r="63" spans="2:7" hidden="1" x14ac:dyDescent="0.25">
      <c r="B63" s="5" t="s">
        <v>30</v>
      </c>
      <c r="C63" s="5">
        <v>2020</v>
      </c>
      <c r="D63" s="8">
        <v>5</v>
      </c>
      <c r="F63" s="2">
        <f t="shared" si="6"/>
        <v>649.5</v>
      </c>
    </row>
    <row r="64" spans="2:7" x14ac:dyDescent="0.25">
      <c r="B64" s="5" t="s">
        <v>30</v>
      </c>
      <c r="C64" s="5">
        <v>2021</v>
      </c>
      <c r="D64" s="8">
        <v>7</v>
      </c>
      <c r="F64" s="2">
        <f t="shared" si="6"/>
        <v>649.5</v>
      </c>
      <c r="G64" s="2">
        <f>F64*D64</f>
        <v>4546.5</v>
      </c>
    </row>
    <row r="65" spans="2:7" hidden="1" x14ac:dyDescent="0.25">
      <c r="B65" s="5" t="s">
        <v>31</v>
      </c>
      <c r="C65" s="5">
        <v>2017</v>
      </c>
      <c r="D65" s="8">
        <v>2</v>
      </c>
      <c r="F65" s="2">
        <f>AVERAGE(700,799)</f>
        <v>749.5</v>
      </c>
    </row>
    <row r="66" spans="2:7" hidden="1" x14ac:dyDescent="0.25">
      <c r="B66" s="5" t="s">
        <v>31</v>
      </c>
      <c r="C66" s="5">
        <v>2018</v>
      </c>
      <c r="D66" s="8">
        <v>2</v>
      </c>
      <c r="F66" s="2">
        <f t="shared" ref="F66:F69" si="7">AVERAGE(700,799)</f>
        <v>749.5</v>
      </c>
    </row>
    <row r="67" spans="2:7" hidden="1" x14ac:dyDescent="0.25">
      <c r="B67" s="5" t="s">
        <v>31</v>
      </c>
      <c r="C67" s="5">
        <v>2019</v>
      </c>
      <c r="D67" s="8">
        <v>1</v>
      </c>
      <c r="F67" s="2">
        <f t="shared" si="7"/>
        <v>749.5</v>
      </c>
    </row>
    <row r="68" spans="2:7" hidden="1" x14ac:dyDescent="0.25">
      <c r="B68" s="5" t="s">
        <v>31</v>
      </c>
      <c r="C68" s="5">
        <v>2020</v>
      </c>
      <c r="D68" s="8">
        <v>1</v>
      </c>
      <c r="F68" s="2">
        <f t="shared" si="7"/>
        <v>749.5</v>
      </c>
    </row>
    <row r="69" spans="2:7" x14ac:dyDescent="0.25">
      <c r="B69" s="5" t="s">
        <v>31</v>
      </c>
      <c r="C69" s="5">
        <v>2021</v>
      </c>
      <c r="D69" s="8">
        <v>1</v>
      </c>
      <c r="F69" s="2">
        <f t="shared" si="7"/>
        <v>749.5</v>
      </c>
      <c r="G69" s="2">
        <f>F69*D69</f>
        <v>749.5</v>
      </c>
    </row>
    <row r="70" spans="2:7" hidden="1" x14ac:dyDescent="0.25">
      <c r="B70" s="5" t="s">
        <v>32</v>
      </c>
      <c r="C70" s="5">
        <v>2017</v>
      </c>
      <c r="D70" s="8">
        <v>1</v>
      </c>
      <c r="F70" s="2">
        <f>AVERAGE(800,899)</f>
        <v>849.5</v>
      </c>
    </row>
    <row r="71" spans="2:7" hidden="1" x14ac:dyDescent="0.25">
      <c r="B71" s="5" t="s">
        <v>32</v>
      </c>
      <c r="C71" s="5">
        <v>2018</v>
      </c>
      <c r="D71" s="8">
        <v>3</v>
      </c>
      <c r="F71" s="2">
        <f t="shared" ref="F71:F74" si="8">AVERAGE(800,899)</f>
        <v>849.5</v>
      </c>
    </row>
    <row r="72" spans="2:7" hidden="1" x14ac:dyDescent="0.25">
      <c r="B72" s="5" t="s">
        <v>32</v>
      </c>
      <c r="C72" s="5">
        <v>2019</v>
      </c>
      <c r="D72" s="8">
        <v>0</v>
      </c>
      <c r="F72" s="2">
        <f t="shared" si="8"/>
        <v>849.5</v>
      </c>
    </row>
    <row r="73" spans="2:7" hidden="1" x14ac:dyDescent="0.25">
      <c r="B73" s="5" t="s">
        <v>32</v>
      </c>
      <c r="C73" s="5">
        <v>2020</v>
      </c>
      <c r="D73" s="8">
        <v>3</v>
      </c>
      <c r="F73" s="2">
        <f t="shared" si="8"/>
        <v>849.5</v>
      </c>
    </row>
    <row r="74" spans="2:7" x14ac:dyDescent="0.25">
      <c r="B74" s="5" t="s">
        <v>32</v>
      </c>
      <c r="C74" s="5">
        <v>2021</v>
      </c>
      <c r="D74" s="8">
        <v>1</v>
      </c>
      <c r="F74" s="2">
        <f t="shared" si="8"/>
        <v>849.5</v>
      </c>
      <c r="G74" s="2">
        <f>F74*D74</f>
        <v>849.5</v>
      </c>
    </row>
    <row r="75" spans="2:7" hidden="1" x14ac:dyDescent="0.25">
      <c r="B75" s="5" t="s">
        <v>33</v>
      </c>
      <c r="C75" s="5">
        <v>2017</v>
      </c>
      <c r="D75" s="8">
        <v>0</v>
      </c>
      <c r="F75" s="2">
        <f>AVERAGE(900,999)</f>
        <v>949.5</v>
      </c>
    </row>
    <row r="76" spans="2:7" hidden="1" x14ac:dyDescent="0.25">
      <c r="B76" s="5" t="s">
        <v>33</v>
      </c>
      <c r="C76" s="5">
        <v>2018</v>
      </c>
      <c r="D76" s="8">
        <v>0</v>
      </c>
      <c r="F76" s="2">
        <f t="shared" ref="F76:F79" si="9">AVERAGE(900,999)</f>
        <v>949.5</v>
      </c>
    </row>
    <row r="77" spans="2:7" hidden="1" x14ac:dyDescent="0.25">
      <c r="B77" s="5" t="s">
        <v>33</v>
      </c>
      <c r="C77" s="5">
        <v>2019</v>
      </c>
      <c r="D77" s="8">
        <v>0</v>
      </c>
      <c r="F77" s="2">
        <f t="shared" si="9"/>
        <v>949.5</v>
      </c>
    </row>
    <row r="78" spans="2:7" hidden="1" x14ac:dyDescent="0.25">
      <c r="B78" s="5" t="s">
        <v>33</v>
      </c>
      <c r="C78" s="5">
        <v>2020</v>
      </c>
      <c r="D78" s="8">
        <v>0</v>
      </c>
      <c r="F78" s="2">
        <f t="shared" si="9"/>
        <v>949.5</v>
      </c>
    </row>
    <row r="79" spans="2:7" x14ac:dyDescent="0.25">
      <c r="B79" s="5" t="s">
        <v>33</v>
      </c>
      <c r="C79" s="5">
        <v>2021</v>
      </c>
      <c r="D79" s="8">
        <v>1</v>
      </c>
      <c r="F79" s="2">
        <f t="shared" si="9"/>
        <v>949.5</v>
      </c>
      <c r="G79" s="2">
        <f>F79*D79</f>
        <v>949.5</v>
      </c>
    </row>
    <row r="80" spans="2:7" hidden="1" x14ac:dyDescent="0.25">
      <c r="B80" s="5" t="s">
        <v>34</v>
      </c>
      <c r="C80" s="5">
        <v>2017</v>
      </c>
      <c r="D80" s="8">
        <v>1</v>
      </c>
      <c r="F80" s="2">
        <f>AVERAGE(1000,1099)</f>
        <v>1049.5</v>
      </c>
    </row>
    <row r="81" spans="1:7" hidden="1" x14ac:dyDescent="0.25">
      <c r="B81" s="5" t="s">
        <v>34</v>
      </c>
      <c r="C81" s="5">
        <v>2018</v>
      </c>
      <c r="D81" s="8">
        <v>1</v>
      </c>
      <c r="F81" s="2">
        <f t="shared" ref="F81:F84" si="10">AVERAGE(1000,1099)</f>
        <v>1049.5</v>
      </c>
    </row>
    <row r="82" spans="1:7" hidden="1" x14ac:dyDescent="0.25">
      <c r="B82" s="5" t="s">
        <v>34</v>
      </c>
      <c r="C82" s="5">
        <v>2019</v>
      </c>
      <c r="D82" s="8">
        <v>1</v>
      </c>
      <c r="F82" s="2">
        <f t="shared" si="10"/>
        <v>1049.5</v>
      </c>
    </row>
    <row r="83" spans="1:7" hidden="1" x14ac:dyDescent="0.25">
      <c r="B83" s="5" t="s">
        <v>34</v>
      </c>
      <c r="C83" s="5">
        <v>2020</v>
      </c>
      <c r="D83" s="8">
        <v>2</v>
      </c>
      <c r="F83" s="2">
        <f t="shared" si="10"/>
        <v>1049.5</v>
      </c>
    </row>
    <row r="84" spans="1:7" x14ac:dyDescent="0.25">
      <c r="B84" s="5" t="s">
        <v>34</v>
      </c>
      <c r="C84" s="5">
        <v>2021</v>
      </c>
      <c r="D84" s="8">
        <v>2</v>
      </c>
      <c r="F84" s="2">
        <f t="shared" si="10"/>
        <v>1049.5</v>
      </c>
      <c r="G84" s="2">
        <f>F84*D84</f>
        <v>2099</v>
      </c>
    </row>
    <row r="86" spans="1:7" x14ac:dyDescent="0.25">
      <c r="A86" s="1" t="s">
        <v>42</v>
      </c>
      <c r="B86" s="1" t="s">
        <v>36</v>
      </c>
    </row>
    <row r="87" spans="1:7" x14ac:dyDescent="0.25">
      <c r="A87" s="2" t="s">
        <v>43</v>
      </c>
      <c r="B87" s="12">
        <v>7057528</v>
      </c>
    </row>
  </sheetData>
  <sheetProtection algorithmName="SHA-512" hashValue="hNIIrtEwvXKCCyC5rN5zGejL65IWbe2u7mcVayg2VsRii1qNfHtHmBiQbiisxyrFt2LIcdytGXWheRs3fV4iug==" saltValue="CBDpt2+WrOUV5xnCvc01Pg==" spinCount="100000" sheet="1" objects="1" scenarios="1" formatCells="0" formatColumns="0" formatRows="0" insertColumns="0" insertRows="0" insertHyperlinks="0" sort="0" autoFilter="0" pivotTables="0"/>
  <autoFilter ref="B29:F84" xr:uid="{4958FB0D-EB93-49C8-889E-6407F53F4C17}">
    <filterColumn colId="1">
      <filters>
        <filter val="2021"/>
      </filters>
    </filterColumn>
  </autoFilter>
  <hyperlinks>
    <hyperlink ref="B1" r:id="rId1" xr:uid="{D2FE4D56-555F-421B-8F3F-7FF2A8FB7DC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Calculations</vt:lpstr>
      <vt:lpstr>Green Hospiatl Scorecard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Weijia Shi</dc:creator>
  <cp:lastModifiedBy>Weijia Shi</cp:lastModifiedBy>
  <dcterms:created xsi:type="dcterms:W3CDTF">2026-02-05T19:09:46Z</dcterms:created>
  <dcterms:modified xsi:type="dcterms:W3CDTF">2026-06-11T20:06:24Z</dcterms:modified>
</cp:coreProperties>
</file>